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tables/table2.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uropeantheatreconvention.sharepoint.com/sites/etcoffice/Freigegebene Dokumente/BTM/02_Activities/4. Planet/4.2 ETC Theatre Green Book/ETC TGB Tools/"/>
    </mc:Choice>
  </mc:AlternateContent>
  <xr:revisionPtr revIDLastSave="0" documentId="8_{99A02758-0D76-4A6B-871B-F4AF94E4BE23}" xr6:coauthVersionLast="47" xr6:coauthVersionMax="47" xr10:uidLastSave="{00000000-0000-0000-0000-000000000000}"/>
  <workbookProtection workbookAlgorithmName="SHA-512" workbookHashValue="unPS3TzHuOFMQGok3zITF/E9RFk+iMrJ63e2u6QnubnCNCUVWqLTcgFbJIAqwRxWPlUH/2Bj8YuH1ygKHDN2aw==" workbookSaltValue="KNUYiFJKlW/OP9rvVYeNFA==" workbookSpinCount="100000" lockStructure="1"/>
  <bookViews>
    <workbookView xWindow="1140" yWindow="630" windowWidth="18010" windowHeight="11370" tabRatio="792" xr2:uid="{097DFFC3-81E1-4632-9299-5313FEF3FDB3}"/>
  </bookViews>
  <sheets>
    <sheet name="START HERE" sheetId="12" r:id="rId1"/>
    <sheet name="BASIC" sheetId="16" r:id="rId2"/>
    <sheet name="INTERMEDIATE" sheetId="14" r:id="rId3"/>
    <sheet name="ADVANCED" sheetId="15" r:id="rId4"/>
    <sheet name="Scenery" sheetId="4" r:id="rId5"/>
    <sheet name="Costume" sheetId="6" r:id="rId6"/>
    <sheet name="Props &amp; furniture" sheetId="10" r:id="rId7"/>
    <sheet name="Technical" sheetId="20" r:id="rId8"/>
    <sheet name="Travel" sheetId="18" r:id="rId9"/>
    <sheet name="REPORT" sheetId="11" r:id="rId10"/>
    <sheet name="Scenery EST" sheetId="1" r:id="rId11"/>
    <sheet name="Costume EST" sheetId="5" r:id="rId12"/>
    <sheet name="Props &amp; furniture EST" sheetId="9" r:id="rId13"/>
    <sheet name="Emission factors and lists" sheetId="19" state="hidden" r:id="rId14"/>
  </sheets>
  <externalReferences>
    <externalReference r:id="rId15"/>
    <externalReference r:id="rId16"/>
    <externalReference r:id="rId17"/>
  </externalReferences>
  <definedNames>
    <definedName name="_ftn3" localSheetId="3">ADVANCED!#REF!</definedName>
    <definedName name="_ftn3" localSheetId="1">BASIC!#REF!</definedName>
    <definedName name="_ftn3" localSheetId="2">INTERMEDIATE!#REF!</definedName>
    <definedName name="_ftn3" localSheetId="8">Travel!#REF!</definedName>
    <definedName name="_ftnref1" localSheetId="3">ADVANCED!#REF!</definedName>
    <definedName name="_ftnref1" localSheetId="1">BASIC!#REF!</definedName>
    <definedName name="_ftnref1" localSheetId="2">INTERMEDIATE!#REF!</definedName>
    <definedName name="_ftnref1" localSheetId="8">Travel!#REF!</definedName>
    <definedName name="_ftnref2" localSheetId="3">ADVANCED!#REF!</definedName>
    <definedName name="_ftnref2" localSheetId="1">BASIC!#REF!</definedName>
    <definedName name="_ftnref2" localSheetId="2">INTERMEDIATE!#REF!</definedName>
    <definedName name="_ftnref2" localSheetId="8">Travel!#REF!</definedName>
    <definedName name="_ftnref3" localSheetId="3">ADVANCED!#REF!</definedName>
    <definedName name="_ftnref3" localSheetId="1">BASIC!#REF!</definedName>
    <definedName name="_ftnref3" localSheetId="2">INTERMEDIATE!#REF!</definedName>
    <definedName name="_ftnref3" localSheetId="8">Travel!#REF!</definedName>
    <definedName name="_kostumier" localSheetId="13">'[1]START HERE'!$C$17</definedName>
    <definedName name="_kostumier" localSheetId="7">'[1]START HERE'!$C$17</definedName>
    <definedName name="_kostumier" localSheetId="8">'[2]START HERE'!$C$17</definedName>
    <definedName name="_kostumier">'START HERE'!$C$17</definedName>
    <definedName name="_producent" localSheetId="13">'[1]START HERE'!$C$11</definedName>
    <definedName name="_producent" localSheetId="7">'[1]START HERE'!$C$11</definedName>
    <definedName name="_producent" localSheetId="8">'[2]START HERE'!$C$11</definedName>
    <definedName name="_producent">'START HERE'!$C$11</definedName>
    <definedName name="_produktionsleder" localSheetId="13">'[1]START HERE'!$C$15</definedName>
    <definedName name="_produktionsleder" localSheetId="7">'[1]START HERE'!$C$15</definedName>
    <definedName name="_produktionsleder" localSheetId="8">'[2]START HERE'!$C$15</definedName>
    <definedName name="_produktionsleder">'START HERE'!$C$15</definedName>
    <definedName name="_Ref63266005" localSheetId="3">ADVANCED!#REF!</definedName>
    <definedName name="_Ref63266005" localSheetId="1">BASIC!#REF!</definedName>
    <definedName name="_Ref63266005" localSheetId="2">INTERMEDIATE!#REF!</definedName>
    <definedName name="_Ref63266005" localSheetId="8">Travel!#REF!</definedName>
    <definedName name="_sæson" localSheetId="13">'[1]START HERE'!$C$20</definedName>
    <definedName name="_sæson" localSheetId="7">'[1]START HERE'!$C$20</definedName>
    <definedName name="_sæson" localSheetId="8">'[2]START HERE'!$C$20</definedName>
    <definedName name="_sæson">'START HERE'!$C$23</definedName>
    <definedName name="_scenemester" localSheetId="13">'[1]START HERE'!$C$18</definedName>
    <definedName name="_scenemester" localSheetId="7">'[1]START HERE'!$C$18</definedName>
    <definedName name="_scenemester" localSheetId="8">'[2]START HERE'!$C$18</definedName>
    <definedName name="_scenemester">'START HERE'!$C$18</definedName>
    <definedName name="All" localSheetId="7">#REF!</definedName>
    <definedName name="All">'Emission factors and lists'!#REF!</definedName>
    <definedName name="Bike" localSheetId="7">#REF!</definedName>
    <definedName name="Bike">'Emission factors and lists'!$U$3:$U$4</definedName>
    <definedName name="Bus" localSheetId="7">#REF!</definedName>
    <definedName name="Bus">'Emission factors and lists'!$U$5:$U$11</definedName>
    <definedName name="Car" localSheetId="7">#REF!</definedName>
    <definedName name="Car">'Emission factors and lists'!$U$6:$U$10</definedName>
    <definedName name="Costumedesigner" localSheetId="13">'[1]START HERE'!$C$14</definedName>
    <definedName name="Costumedesigner" localSheetId="7">'[1]START HERE'!$C$14</definedName>
    <definedName name="Costumedesigner" localSheetId="8">'[2]START HERE'!$C$14</definedName>
    <definedName name="Costumedesigner">'START HERE'!$C$14</definedName>
    <definedName name="Designer" localSheetId="13">'[1]START HERE'!$C$13</definedName>
    <definedName name="Designer" localSheetId="7">'[1]START HERE'!$C$13</definedName>
    <definedName name="Designer" localSheetId="8">'[2]START HERE'!$C$13</definedName>
    <definedName name="Designer">'START HERE'!$C$13</definedName>
    <definedName name="Director" localSheetId="13">'[1]START HERE'!$C$12</definedName>
    <definedName name="Director" localSheetId="7">'[1]START HERE'!$C$12</definedName>
    <definedName name="Director" localSheetId="8">'[2]START HERE'!$C$12</definedName>
    <definedName name="Director">'START HERE'!$C$12</definedName>
    <definedName name="Ferry" localSheetId="7">#REF!</definedName>
    <definedName name="Ferry">'Emission factors and lists'!$U$18:$U$19</definedName>
    <definedName name="Forestillingsnummer" localSheetId="13">'[1]START HERE'!$C$7</definedName>
    <definedName name="Forestillingsnummer" localSheetId="7">'[1]START HERE'!$C$7</definedName>
    <definedName name="Forestillingsnummer" localSheetId="8">'[2]START HERE'!$C$7</definedName>
    <definedName name="Forestillingsnummer">'START HERE'!$C$7</definedName>
    <definedName name="Forestillingstitel" localSheetId="13">'[1]START HERE'!$C$8</definedName>
    <definedName name="Forestillingstitel" localSheetId="7">'[1]START HERE'!$C$8</definedName>
    <definedName name="Forestillingstitel" localSheetId="8">'[2]START HERE'!$C$8</definedName>
    <definedName name="Forestillingstitel">'START HERE'!$C$8</definedName>
    <definedName name="KUNSTART" localSheetId="13">'[1]START HERE'!$C$9</definedName>
    <definedName name="KUNSTART" localSheetId="7">'[1]START HERE'!$C$9</definedName>
    <definedName name="KUNSTART" localSheetId="8">'[2]START HERE'!$C$9</definedName>
    <definedName name="KUNSTART">'START HERE'!$C$9</definedName>
    <definedName name="Lighting_lead">'START HERE'!$C$20</definedName>
    <definedName name="Plane" localSheetId="7">#REF!</definedName>
    <definedName name="Plane">'Emission factors and lists'!$U$12:$U$17</definedName>
    <definedName name="_xlnm.Print_Area" localSheetId="3">ADVANCED!$B$26:$G$63</definedName>
    <definedName name="_xlnm.Print_Area" localSheetId="1">BASIC!$B$26:$G$63</definedName>
    <definedName name="_xlnm.Print_Area" localSheetId="2">INTERMEDIATE!$B$26:$G$63</definedName>
    <definedName name="_xlnm.Print_Area" localSheetId="9">REPORT!$B$2:$Q$63</definedName>
    <definedName name="_xlnm.Print_Area" localSheetId="8">Travel!#REF!</definedName>
    <definedName name="Producent" localSheetId="7">'[3]START HERE'!#REF!</definedName>
    <definedName name="Producent">'START HERE'!$C$11</definedName>
    <definedName name="producer" localSheetId="13">'[1]START HERE'!$C$11</definedName>
    <definedName name="producer" localSheetId="7">'[1]START HERE'!$C$11</definedName>
    <definedName name="producer" localSheetId="8">'[2]START HERE'!$C$11</definedName>
    <definedName name="producer">'START HERE'!$C$11</definedName>
    <definedName name="Produktionsleder" localSheetId="13">'[1]START HERE'!$C$15</definedName>
    <definedName name="Produktionsleder" localSheetId="7">'[1]START HERE'!$C$15</definedName>
    <definedName name="Produktionsleder" localSheetId="8">'[2]START HERE'!$C$15</definedName>
    <definedName name="Produktionsleder">'START HERE'!$C$15</definedName>
    <definedName name="sæson" localSheetId="13">'[1]START HERE'!$C$20</definedName>
    <definedName name="sæson" localSheetId="7">'[1]START HERE'!$C$20</definedName>
    <definedName name="sæson" localSheetId="8">'[2]START HERE'!$C$20</definedName>
    <definedName name="sæson">'START HERE'!$C$23</definedName>
    <definedName name="Scenemester" localSheetId="7">'[3]START HERE'!#REF!</definedName>
    <definedName name="Scenemester">'START HERE'!$C$18</definedName>
    <definedName name="Sound_lead">'START HERE'!$C$21</definedName>
    <definedName name="TARGET" localSheetId="13">'[1]START HERE'!$C$22</definedName>
    <definedName name="TARGET" localSheetId="7">'[1]START HERE'!$C$22</definedName>
    <definedName name="TARGET" localSheetId="8">'[2]START HERE'!$C$22</definedName>
    <definedName name="TARGET">'START HERE'!$C$25</definedName>
    <definedName name="Taxi" localSheetId="7">#REF!</definedName>
    <definedName name="Taxi">'Emission factors and lists'!$U$21</definedName>
    <definedName name="Technical_lead">'START HERE'!$C$19</definedName>
    <definedName name="Train" localSheetId="7">#REF!</definedName>
    <definedName name="Train">'Emission factors and lists'!$U$22:$U$24</definedName>
    <definedName name="Van" localSheetId="7">#REF!</definedName>
    <definedName name="Van">'Emission factors and lists'!$U$25:$U$28</definedName>
    <definedName name="Workshoplead" localSheetId="13">'[1]START HERE'!$C$16</definedName>
    <definedName name="Workshoplead" localSheetId="7">'[1]START HERE'!$C$16</definedName>
    <definedName name="Workshoplead" localSheetId="8">'[2]START HERE'!$C$16</definedName>
    <definedName name="Workshoplead">'START HERE'!$C$16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43" i="15" l="1"/>
  <c r="G41" i="15"/>
  <c r="G43" i="14"/>
  <c r="G41" i="14"/>
  <c r="G43" i="16"/>
  <c r="G41" i="16"/>
  <c r="C22" i="15"/>
  <c r="C18" i="15"/>
  <c r="C17" i="15"/>
  <c r="C16" i="15"/>
  <c r="C15" i="15"/>
  <c r="C18" i="14"/>
  <c r="C17" i="14"/>
  <c r="C16" i="14"/>
  <c r="C15" i="14"/>
  <c r="C18" i="16"/>
  <c r="C17" i="16"/>
  <c r="C16" i="16"/>
  <c r="C15" i="16"/>
  <c r="H4" i="20"/>
  <c r="H3" i="20"/>
  <c r="H2" i="20"/>
  <c r="G53" i="15"/>
  <c r="G53" i="14"/>
  <c r="G53" i="16"/>
  <c r="E88" i="1" l="1"/>
  <c r="E87" i="1"/>
  <c r="E86" i="1"/>
  <c r="E85" i="1"/>
  <c r="E84" i="1"/>
  <c r="E83" i="1"/>
  <c r="E82" i="1"/>
  <c r="E81" i="1"/>
  <c r="E80" i="1"/>
  <c r="E79" i="1"/>
  <c r="E78" i="1"/>
  <c r="E95" i="4"/>
  <c r="E96" i="4"/>
  <c r="E97" i="4"/>
  <c r="E98" i="4"/>
  <c r="E99" i="4"/>
  <c r="E100" i="4"/>
  <c r="E101" i="4"/>
  <c r="E102" i="4"/>
  <c r="E103" i="4"/>
  <c r="E104" i="4"/>
  <c r="E94" i="4"/>
  <c r="P21" i="6"/>
  <c r="P22" i="6"/>
  <c r="P23" i="6"/>
  <c r="P24" i="6"/>
  <c r="P25" i="6"/>
  <c r="P26" i="6"/>
  <c r="P27" i="6"/>
  <c r="P28" i="6"/>
  <c r="P29" i="6"/>
  <c r="P30" i="6"/>
  <c r="P31" i="6"/>
  <c r="P32" i="6"/>
  <c r="P33" i="6"/>
  <c r="P34" i="6"/>
  <c r="P35" i="6"/>
  <c r="P36" i="6"/>
  <c r="P37" i="6"/>
  <c r="P38" i="6"/>
  <c r="P39" i="6"/>
  <c r="P40" i="6"/>
  <c r="P41" i="6"/>
  <c r="P42" i="6"/>
  <c r="P18" i="6"/>
  <c r="P19" i="6"/>
  <c r="K4" i="10"/>
  <c r="P20" i="4"/>
  <c r="P24" i="4"/>
  <c r="P18" i="4"/>
  <c r="O19" i="10"/>
  <c r="G5" i="18" l="1"/>
  <c r="C6" i="18"/>
  <c r="C5" i="18"/>
  <c r="C4" i="18"/>
  <c r="T18" i="4"/>
  <c r="F18" i="6" l="1"/>
  <c r="J18" i="6" s="1"/>
  <c r="F21" i="6"/>
  <c r="F32" i="6"/>
  <c r="F19" i="6"/>
  <c r="F20" i="6"/>
  <c r="F22" i="6"/>
  <c r="F23" i="6"/>
  <c r="F24" i="6"/>
  <c r="F25" i="6"/>
  <c r="F26" i="6"/>
  <c r="F27" i="6"/>
  <c r="F28" i="6"/>
  <c r="F29" i="6"/>
  <c r="F30" i="6"/>
  <c r="F31" i="6"/>
  <c r="F33" i="6"/>
  <c r="F34" i="6"/>
  <c r="F35" i="6"/>
  <c r="F36" i="6"/>
  <c r="F37" i="6"/>
  <c r="F38" i="6"/>
  <c r="F39" i="6"/>
  <c r="F40" i="6"/>
  <c r="F41" i="6"/>
  <c r="F42" i="6"/>
  <c r="T23" i="4"/>
  <c r="T21" i="4"/>
  <c r="T25" i="4"/>
  <c r="G180" i="4" l="1"/>
  <c r="G179" i="4"/>
  <c r="G177" i="4"/>
  <c r="G178" i="4"/>
  <c r="G176" i="4"/>
  <c r="G172" i="4"/>
  <c r="G173" i="4"/>
  <c r="G174" i="4"/>
  <c r="G175" i="4"/>
  <c r="G171" i="4"/>
  <c r="G170" i="4"/>
  <c r="G168" i="4"/>
  <c r="G169" i="4"/>
  <c r="G167" i="4"/>
  <c r="G165" i="4"/>
  <c r="G166" i="4"/>
  <c r="G164" i="4"/>
  <c r="C159" i="4"/>
  <c r="C158" i="4"/>
  <c r="C157" i="4"/>
  <c r="G143" i="4"/>
  <c r="G144" i="4"/>
  <c r="G145" i="4"/>
  <c r="G146" i="4"/>
  <c r="G147" i="4"/>
  <c r="G148" i="4"/>
  <c r="G149" i="4"/>
  <c r="G150" i="4"/>
  <c r="G151" i="4"/>
  <c r="G152" i="4"/>
  <c r="G153" i="4"/>
  <c r="G142" i="4"/>
  <c r="G117" i="4"/>
  <c r="G118" i="4"/>
  <c r="G119" i="4"/>
  <c r="G120" i="4"/>
  <c r="G121" i="4"/>
  <c r="G122" i="4"/>
  <c r="G123" i="4"/>
  <c r="G124" i="4"/>
  <c r="G125" i="4"/>
  <c r="G126" i="4"/>
  <c r="G127" i="4"/>
  <c r="G128" i="4"/>
  <c r="G129" i="4"/>
  <c r="G130" i="4"/>
  <c r="G131" i="4"/>
  <c r="G132" i="4"/>
  <c r="G133" i="4"/>
  <c r="G134" i="4"/>
  <c r="G135" i="4"/>
  <c r="G136" i="4"/>
  <c r="G137" i="4"/>
  <c r="G138" i="4"/>
  <c r="G116" i="4"/>
  <c r="G111" i="4"/>
  <c r="G110" i="4"/>
  <c r="G109" i="4"/>
  <c r="G108" i="4"/>
  <c r="G87" i="4"/>
  <c r="G88" i="4"/>
  <c r="G89" i="4"/>
  <c r="G90" i="4"/>
  <c r="G86" i="4"/>
  <c r="G85" i="4"/>
  <c r="G77" i="4"/>
  <c r="G78" i="4"/>
  <c r="G79" i="4"/>
  <c r="G80" i="4"/>
  <c r="G81" i="4"/>
  <c r="G82" i="4"/>
  <c r="G83" i="4"/>
  <c r="G84" i="4"/>
  <c r="G76" i="4"/>
  <c r="G72" i="4"/>
  <c r="G73" i="4"/>
  <c r="G74" i="4"/>
  <c r="G75" i="4"/>
  <c r="G71" i="4"/>
  <c r="J42" i="18"/>
  <c r="K42" i="18" s="1"/>
  <c r="P43" i="18" s="1"/>
  <c r="J43" i="18"/>
  <c r="K43" i="18" s="1"/>
  <c r="J44" i="18"/>
  <c r="K44" i="18" s="1"/>
  <c r="J45" i="18"/>
  <c r="K45" i="18" s="1"/>
  <c r="J46" i="18"/>
  <c r="K46" i="18" s="1"/>
  <c r="J47" i="18"/>
  <c r="K47" i="18" s="1"/>
  <c r="J48" i="18"/>
  <c r="K48" i="18" s="1"/>
  <c r="J49" i="18"/>
  <c r="K49" i="18" s="1"/>
  <c r="J50" i="18"/>
  <c r="K50" i="18" s="1"/>
  <c r="P44" i="18" s="1"/>
  <c r="J51" i="18"/>
  <c r="K51" i="18" s="1"/>
  <c r="J52" i="18"/>
  <c r="K52" i="18" s="1"/>
  <c r="J53" i="18"/>
  <c r="K53" i="18" s="1"/>
  <c r="J54" i="18"/>
  <c r="K54" i="18" s="1"/>
  <c r="J55" i="18"/>
  <c r="K55" i="18" s="1"/>
  <c r="J56" i="18"/>
  <c r="K56" i="18" s="1"/>
  <c r="J57" i="18"/>
  <c r="K57" i="18" s="1"/>
  <c r="J58" i="18"/>
  <c r="K58" i="18" s="1"/>
  <c r="J59" i="18"/>
  <c r="K59" i="18" s="1"/>
  <c r="J60" i="18"/>
  <c r="K60" i="18" s="1"/>
  <c r="J61" i="18"/>
  <c r="K61" i="18" s="1"/>
  <c r="J62" i="18"/>
  <c r="K62" i="18" s="1"/>
  <c r="J63" i="18"/>
  <c r="K63" i="18" s="1"/>
  <c r="J41" i="18"/>
  <c r="K41" i="18" s="1"/>
  <c r="P42" i="18" s="1"/>
  <c r="AC1113" i="19"/>
  <c r="AC1112" i="19"/>
  <c r="AC1111" i="19"/>
  <c r="AC1110" i="19"/>
  <c r="AC1109" i="19"/>
  <c r="AC1108" i="19"/>
  <c r="AC1107" i="19"/>
  <c r="AC1106" i="19"/>
  <c r="AC1105" i="19"/>
  <c r="AC1104" i="19"/>
  <c r="AC1103" i="19"/>
  <c r="AC1102" i="19"/>
  <c r="AC1101" i="19"/>
  <c r="AC1100" i="19"/>
  <c r="AC1099" i="19"/>
  <c r="AC1098" i="19"/>
  <c r="AC1097" i="19"/>
  <c r="AC1096" i="19"/>
  <c r="AC1095" i="19"/>
  <c r="AC1094" i="19"/>
  <c r="AC1093" i="19"/>
  <c r="AC1092" i="19"/>
  <c r="AC1091" i="19"/>
  <c r="AC1090" i="19"/>
  <c r="AC1089" i="19"/>
  <c r="AC1088" i="19"/>
  <c r="AC1087" i="19"/>
  <c r="AC1086" i="19"/>
  <c r="AC1085" i="19"/>
  <c r="AC1084" i="19"/>
  <c r="AC1083" i="19"/>
  <c r="AC1082" i="19"/>
  <c r="AC1081" i="19"/>
  <c r="AC1080" i="19"/>
  <c r="AC1079" i="19"/>
  <c r="AC1078" i="19"/>
  <c r="AC1077" i="19"/>
  <c r="AC1076" i="19"/>
  <c r="AC1075" i="19"/>
  <c r="AC1074" i="19"/>
  <c r="AC1073" i="19"/>
  <c r="AC1072" i="19"/>
  <c r="AC1071" i="19"/>
  <c r="AC1070" i="19"/>
  <c r="AC1069" i="19"/>
  <c r="AC1068" i="19"/>
  <c r="AC1067" i="19"/>
  <c r="AC1066" i="19"/>
  <c r="AC1065" i="19"/>
  <c r="AC1064" i="19"/>
  <c r="AC1063" i="19"/>
  <c r="AC1062" i="19"/>
  <c r="AC1061" i="19"/>
  <c r="AC1060" i="19"/>
  <c r="AC1059" i="19"/>
  <c r="AC1058" i="19"/>
  <c r="AC1057" i="19"/>
  <c r="AC1056" i="19"/>
  <c r="AC1055" i="19"/>
  <c r="AC1054" i="19"/>
  <c r="AC1053" i="19"/>
  <c r="AC1052" i="19"/>
  <c r="AC1051" i="19"/>
  <c r="AC1050" i="19"/>
  <c r="AC1049" i="19"/>
  <c r="AC1048" i="19"/>
  <c r="AC1047" i="19"/>
  <c r="AC1046" i="19"/>
  <c r="AC1045" i="19"/>
  <c r="AC1044" i="19"/>
  <c r="AC1043" i="19"/>
  <c r="AC1042" i="19"/>
  <c r="AC1041" i="19"/>
  <c r="AC1040" i="19"/>
  <c r="AC1039" i="19"/>
  <c r="AC1038" i="19"/>
  <c r="AC1037" i="19"/>
  <c r="AC1036" i="19"/>
  <c r="AC1035" i="19"/>
  <c r="AC1034" i="19"/>
  <c r="AC1033" i="19"/>
  <c r="AC1032" i="19"/>
  <c r="AC1031" i="19"/>
  <c r="AC1030" i="19"/>
  <c r="AC1029" i="19"/>
  <c r="AC1028" i="19"/>
  <c r="AC1027" i="19"/>
  <c r="AC1026" i="19"/>
  <c r="AC1025" i="19"/>
  <c r="AC1024" i="19"/>
  <c r="AC1023" i="19"/>
  <c r="AC1022" i="19"/>
  <c r="AC1021" i="19"/>
  <c r="AC1020" i="19"/>
  <c r="AC1019" i="19"/>
  <c r="AC1018" i="19"/>
  <c r="AC1017" i="19"/>
  <c r="AC1016" i="19"/>
  <c r="AC1015" i="19"/>
  <c r="AC1014" i="19"/>
  <c r="AC1013" i="19"/>
  <c r="AC1012" i="19"/>
  <c r="AC1011" i="19"/>
  <c r="AC1010" i="19"/>
  <c r="AC1009" i="19"/>
  <c r="AC1008" i="19"/>
  <c r="AC1007" i="19"/>
  <c r="AC1006" i="19"/>
  <c r="AC1005" i="19"/>
  <c r="AC1004" i="19"/>
  <c r="AC1003" i="19"/>
  <c r="AC1002" i="19"/>
  <c r="AC1001" i="19"/>
  <c r="AC1000" i="19"/>
  <c r="AC999" i="19"/>
  <c r="AC998" i="19"/>
  <c r="AC997" i="19"/>
  <c r="AC996" i="19"/>
  <c r="AC995" i="19"/>
  <c r="AC994" i="19"/>
  <c r="AC993" i="19"/>
  <c r="AC992" i="19"/>
  <c r="AC991" i="19"/>
  <c r="AC990" i="19"/>
  <c r="AC989" i="19"/>
  <c r="AC988" i="19"/>
  <c r="AC987" i="19"/>
  <c r="AC986" i="19"/>
  <c r="AC985" i="19"/>
  <c r="AC984" i="19"/>
  <c r="AC983" i="19"/>
  <c r="AC982" i="19"/>
  <c r="AC981" i="19"/>
  <c r="AC980" i="19"/>
  <c r="AC979" i="19"/>
  <c r="AC978" i="19"/>
  <c r="AC977" i="19"/>
  <c r="AC976" i="19"/>
  <c r="AC975" i="19"/>
  <c r="AC974" i="19"/>
  <c r="AC973" i="19"/>
  <c r="AC972" i="19"/>
  <c r="AC971" i="19"/>
  <c r="AC970" i="19"/>
  <c r="AC969" i="19"/>
  <c r="AC968" i="19"/>
  <c r="AC967" i="19"/>
  <c r="AC966" i="19"/>
  <c r="AC965" i="19"/>
  <c r="AC964" i="19"/>
  <c r="AC963" i="19"/>
  <c r="AC962" i="19"/>
  <c r="AC961" i="19"/>
  <c r="AC960" i="19"/>
  <c r="AC959" i="19"/>
  <c r="AC958" i="19"/>
  <c r="AC957" i="19"/>
  <c r="AC956" i="19"/>
  <c r="AC955" i="19"/>
  <c r="AC954" i="19"/>
  <c r="AC953" i="19"/>
  <c r="AC952" i="19"/>
  <c r="AC951" i="19"/>
  <c r="AC950" i="19"/>
  <c r="AC949" i="19"/>
  <c r="AC948" i="19"/>
  <c r="AC947" i="19"/>
  <c r="AC946" i="19"/>
  <c r="AC945" i="19"/>
  <c r="AC944" i="19"/>
  <c r="AC943" i="19"/>
  <c r="AC942" i="19"/>
  <c r="AC941" i="19"/>
  <c r="AC940" i="19"/>
  <c r="AC939" i="19"/>
  <c r="AC938" i="19"/>
  <c r="AC937" i="19"/>
  <c r="AC936" i="19"/>
  <c r="AC935" i="19"/>
  <c r="AC934" i="19"/>
  <c r="AC933" i="19"/>
  <c r="AC932" i="19"/>
  <c r="AC931" i="19"/>
  <c r="AC930" i="19"/>
  <c r="AC929" i="19"/>
  <c r="AC928" i="19"/>
  <c r="AC927" i="19"/>
  <c r="AC926" i="19"/>
  <c r="AC925" i="19"/>
  <c r="AC924" i="19"/>
  <c r="AC923" i="19"/>
  <c r="AC922" i="19"/>
  <c r="AC921" i="19"/>
  <c r="AC920" i="19"/>
  <c r="AC919" i="19"/>
  <c r="AC918" i="19"/>
  <c r="AC917" i="19"/>
  <c r="AC916" i="19"/>
  <c r="AC915" i="19"/>
  <c r="AC914" i="19"/>
  <c r="AC913" i="19"/>
  <c r="AC912" i="19"/>
  <c r="AC911" i="19"/>
  <c r="AC910" i="19"/>
  <c r="AC909" i="19"/>
  <c r="AC908" i="19"/>
  <c r="AC907" i="19"/>
  <c r="AC906" i="19"/>
  <c r="AC905" i="19"/>
  <c r="AC904" i="19"/>
  <c r="AC903" i="19"/>
  <c r="AC902" i="19"/>
  <c r="AC901" i="19"/>
  <c r="AC900" i="19"/>
  <c r="AC899" i="19"/>
  <c r="AC898" i="19"/>
  <c r="AC897" i="19"/>
  <c r="AC896" i="19"/>
  <c r="AC895" i="19"/>
  <c r="AC894" i="19"/>
  <c r="AC893" i="19"/>
  <c r="AC892" i="19"/>
  <c r="AC891" i="19"/>
  <c r="AC890" i="19"/>
  <c r="AC889" i="19"/>
  <c r="AC888" i="19"/>
  <c r="AC887" i="19"/>
  <c r="AC886" i="19"/>
  <c r="AC885" i="19"/>
  <c r="AC884" i="19"/>
  <c r="AC883" i="19"/>
  <c r="AC882" i="19"/>
  <c r="AC881" i="19"/>
  <c r="AC880" i="19"/>
  <c r="AC879" i="19"/>
  <c r="AC878" i="19"/>
  <c r="AC877" i="19"/>
  <c r="AC876" i="19"/>
  <c r="AC875" i="19"/>
  <c r="AC874" i="19"/>
  <c r="AC873" i="19"/>
  <c r="AC872" i="19"/>
  <c r="AC871" i="19"/>
  <c r="AC870" i="19"/>
  <c r="AC869" i="19"/>
  <c r="AC868" i="19"/>
  <c r="AC867" i="19"/>
  <c r="AC866" i="19"/>
  <c r="AC865" i="19"/>
  <c r="AC864" i="19"/>
  <c r="AC863" i="19"/>
  <c r="AC862" i="19"/>
  <c r="AC861" i="19"/>
  <c r="AC860" i="19"/>
  <c r="AC859" i="19"/>
  <c r="AC858" i="19"/>
  <c r="AC857" i="19"/>
  <c r="AC856" i="19"/>
  <c r="AC855" i="19"/>
  <c r="AC854" i="19"/>
  <c r="AC853" i="19"/>
  <c r="AC852" i="19"/>
  <c r="AC851" i="19"/>
  <c r="AC850" i="19"/>
  <c r="AC849" i="19"/>
  <c r="AC848" i="19"/>
  <c r="AC847" i="19"/>
  <c r="AC846" i="19"/>
  <c r="AC845" i="19"/>
  <c r="AC844" i="19"/>
  <c r="AC843" i="19"/>
  <c r="AC842" i="19"/>
  <c r="AC841" i="19"/>
  <c r="AC840" i="19"/>
  <c r="AC839" i="19"/>
  <c r="AC838" i="19"/>
  <c r="AC837" i="19"/>
  <c r="AC836" i="19"/>
  <c r="AC835" i="19"/>
  <c r="AC834" i="19"/>
  <c r="AC833" i="19"/>
  <c r="AC832" i="19"/>
  <c r="AC831" i="19"/>
  <c r="AC830" i="19"/>
  <c r="AC829" i="19"/>
  <c r="AC828" i="19"/>
  <c r="AC827" i="19"/>
  <c r="AC826" i="19"/>
  <c r="AC825" i="19"/>
  <c r="AC824" i="19"/>
  <c r="AC823" i="19"/>
  <c r="AC822" i="19"/>
  <c r="AC821" i="19"/>
  <c r="AC820" i="19"/>
  <c r="AC819" i="19"/>
  <c r="AC818" i="19"/>
  <c r="AC817" i="19"/>
  <c r="AC816" i="19"/>
  <c r="AC815" i="19"/>
  <c r="AC814" i="19"/>
  <c r="AC813" i="19"/>
  <c r="AC812" i="19"/>
  <c r="AC811" i="19"/>
  <c r="AC810" i="19"/>
  <c r="AC809" i="19"/>
  <c r="AC808" i="19"/>
  <c r="AC807" i="19"/>
  <c r="AC806" i="19"/>
  <c r="AC805" i="19"/>
  <c r="AC804" i="19"/>
  <c r="AC803" i="19"/>
  <c r="AC802" i="19"/>
  <c r="AC801" i="19"/>
  <c r="AC800" i="19"/>
  <c r="AC799" i="19"/>
  <c r="AC798" i="19"/>
  <c r="AC797" i="19"/>
  <c r="AC796" i="19"/>
  <c r="AC795" i="19"/>
  <c r="AC794" i="19"/>
  <c r="AC793" i="19"/>
  <c r="AC792" i="19"/>
  <c r="AC791" i="19"/>
  <c r="AC790" i="19"/>
  <c r="AC789" i="19"/>
  <c r="AC788" i="19"/>
  <c r="AC787" i="19"/>
  <c r="AC786" i="19"/>
  <c r="AC785" i="19"/>
  <c r="AC784" i="19"/>
  <c r="AC783" i="19"/>
  <c r="AC782" i="19"/>
  <c r="AC781" i="19"/>
  <c r="AC780" i="19"/>
  <c r="AC779" i="19"/>
  <c r="AC778" i="19"/>
  <c r="AC777" i="19"/>
  <c r="AC776" i="19"/>
  <c r="AC775" i="19"/>
  <c r="AC774" i="19"/>
  <c r="AC773" i="19"/>
  <c r="AC772" i="19"/>
  <c r="AC771" i="19"/>
  <c r="AC770" i="19"/>
  <c r="AC769" i="19"/>
  <c r="AC768" i="19"/>
  <c r="AC767" i="19"/>
  <c r="AC766" i="19"/>
  <c r="AC765" i="19"/>
  <c r="AC764" i="19"/>
  <c r="AC763" i="19"/>
  <c r="AC762" i="19"/>
  <c r="AC761" i="19"/>
  <c r="AC760" i="19"/>
  <c r="AC759" i="19"/>
  <c r="AC758" i="19"/>
  <c r="AC757" i="19"/>
  <c r="AC756" i="19"/>
  <c r="AC755" i="19"/>
  <c r="AC754" i="19"/>
  <c r="AC753" i="19"/>
  <c r="AC752" i="19"/>
  <c r="AC751" i="19"/>
  <c r="AC750" i="19"/>
  <c r="AC749" i="19"/>
  <c r="AC748" i="19"/>
  <c r="AC747" i="19"/>
  <c r="AC746" i="19"/>
  <c r="AC745" i="19"/>
  <c r="AC744" i="19"/>
  <c r="AC743" i="19"/>
  <c r="AC742" i="19"/>
  <c r="AC741" i="19"/>
  <c r="AC740" i="19"/>
  <c r="AC739" i="19"/>
  <c r="AC738" i="19"/>
  <c r="AC737" i="19"/>
  <c r="AC736" i="19"/>
  <c r="AC735" i="19"/>
  <c r="AC734" i="19"/>
  <c r="AC733" i="19"/>
  <c r="AC732" i="19"/>
  <c r="AC731" i="19"/>
  <c r="AC730" i="19"/>
  <c r="AC729" i="19"/>
  <c r="AC728" i="19"/>
  <c r="AC727" i="19"/>
  <c r="AC726" i="19"/>
  <c r="AC725" i="19"/>
  <c r="AC724" i="19"/>
  <c r="AC723" i="19"/>
  <c r="AC722" i="19"/>
  <c r="AC721" i="19"/>
  <c r="AC720" i="19"/>
  <c r="AC719" i="19"/>
  <c r="AC718" i="19"/>
  <c r="AC717" i="19"/>
  <c r="AC716" i="19"/>
  <c r="AC715" i="19"/>
  <c r="AC714" i="19"/>
  <c r="AC713" i="19"/>
  <c r="AC712" i="19"/>
  <c r="AC711" i="19"/>
  <c r="AC710" i="19"/>
  <c r="AC709" i="19"/>
  <c r="AC708" i="19"/>
  <c r="AC707" i="19"/>
  <c r="AC706" i="19"/>
  <c r="AC705" i="19"/>
  <c r="AC704" i="19"/>
  <c r="AC703" i="19"/>
  <c r="AC702" i="19"/>
  <c r="AC701" i="19"/>
  <c r="AC700" i="19"/>
  <c r="AC699" i="19"/>
  <c r="AC698" i="19"/>
  <c r="AC697" i="19"/>
  <c r="AC696" i="19"/>
  <c r="AC695" i="19"/>
  <c r="AC694" i="19"/>
  <c r="AC693" i="19"/>
  <c r="AC692" i="19"/>
  <c r="AC691" i="19"/>
  <c r="AC690" i="19"/>
  <c r="AC689" i="19"/>
  <c r="AC688" i="19"/>
  <c r="AC687" i="19"/>
  <c r="AC686" i="19"/>
  <c r="AC685" i="19"/>
  <c r="AC684" i="19"/>
  <c r="AC683" i="19"/>
  <c r="AC682" i="19"/>
  <c r="AC681" i="19"/>
  <c r="AC680" i="19"/>
  <c r="AC679" i="19"/>
  <c r="AC678" i="19"/>
  <c r="AC677" i="19"/>
  <c r="AC676" i="19"/>
  <c r="AC675" i="19"/>
  <c r="AC674" i="19"/>
  <c r="AC673" i="19"/>
  <c r="AC672" i="19"/>
  <c r="AC671" i="19"/>
  <c r="AC670" i="19"/>
  <c r="AC669" i="19"/>
  <c r="AC668" i="19"/>
  <c r="AC667" i="19"/>
  <c r="AC666" i="19"/>
  <c r="AC665" i="19"/>
  <c r="AC664" i="19"/>
  <c r="AC663" i="19"/>
  <c r="AC662" i="19"/>
  <c r="AC661" i="19"/>
  <c r="AC660" i="19"/>
  <c r="AC659" i="19"/>
  <c r="AC658" i="19"/>
  <c r="AC657" i="19"/>
  <c r="AC656" i="19"/>
  <c r="AC655" i="19"/>
  <c r="AC654" i="19"/>
  <c r="AC653" i="19"/>
  <c r="AC652" i="19"/>
  <c r="AC651" i="19"/>
  <c r="AC650" i="19"/>
  <c r="AC649" i="19"/>
  <c r="AC648" i="19"/>
  <c r="AC647" i="19"/>
  <c r="AC646" i="19"/>
  <c r="AC645" i="19"/>
  <c r="AC644" i="19"/>
  <c r="AC643" i="19"/>
  <c r="AC642" i="19"/>
  <c r="AC641" i="19"/>
  <c r="AC640" i="19"/>
  <c r="AC639" i="19"/>
  <c r="AC638" i="19"/>
  <c r="AC637" i="19"/>
  <c r="AC636" i="19"/>
  <c r="AC635" i="19"/>
  <c r="AC634" i="19"/>
  <c r="AC633" i="19"/>
  <c r="AC632" i="19"/>
  <c r="AC631" i="19"/>
  <c r="AC630" i="19"/>
  <c r="AC629" i="19"/>
  <c r="AC628" i="19"/>
  <c r="AC627" i="19"/>
  <c r="AC626" i="19"/>
  <c r="AC625" i="19"/>
  <c r="AC624" i="19"/>
  <c r="AC623" i="19"/>
  <c r="AC622" i="19"/>
  <c r="AC621" i="19"/>
  <c r="AC620" i="19"/>
  <c r="AC619" i="19"/>
  <c r="AC618" i="19"/>
  <c r="AC617" i="19"/>
  <c r="AC616" i="19"/>
  <c r="AC615" i="19"/>
  <c r="AC614" i="19"/>
  <c r="AC613" i="19"/>
  <c r="AC612" i="19"/>
  <c r="AC611" i="19"/>
  <c r="AC610" i="19"/>
  <c r="AC609" i="19"/>
  <c r="AC608" i="19"/>
  <c r="AC607" i="19"/>
  <c r="AC606" i="19"/>
  <c r="AC605" i="19"/>
  <c r="AC604" i="19"/>
  <c r="AC603" i="19"/>
  <c r="AC602" i="19"/>
  <c r="AC601" i="19"/>
  <c r="AC600" i="19"/>
  <c r="AC599" i="19"/>
  <c r="AC598" i="19"/>
  <c r="AC597" i="19"/>
  <c r="AC596" i="19"/>
  <c r="AC595" i="19"/>
  <c r="AC594" i="19"/>
  <c r="AC593" i="19"/>
  <c r="AC592" i="19"/>
  <c r="AC591" i="19"/>
  <c r="AC590" i="19"/>
  <c r="AC589" i="19"/>
  <c r="AC588" i="19"/>
  <c r="AC587" i="19"/>
  <c r="AC586" i="19"/>
  <c r="AC585" i="19"/>
  <c r="AC584" i="19"/>
  <c r="AC583" i="19"/>
  <c r="AC582" i="19"/>
  <c r="AC581" i="19"/>
  <c r="AC580" i="19"/>
  <c r="AC579" i="19"/>
  <c r="AC578" i="19"/>
  <c r="AC577" i="19"/>
  <c r="AC576" i="19"/>
  <c r="AC575" i="19"/>
  <c r="AC574" i="19"/>
  <c r="AC573" i="19"/>
  <c r="AC572" i="19"/>
  <c r="AC571" i="19"/>
  <c r="AC570" i="19"/>
  <c r="AC569" i="19"/>
  <c r="AC568" i="19"/>
  <c r="AC567" i="19"/>
  <c r="AC566" i="19"/>
  <c r="AC565" i="19"/>
  <c r="AC564" i="19"/>
  <c r="AC563" i="19"/>
  <c r="AC562" i="19"/>
  <c r="AC561" i="19"/>
  <c r="AC560" i="19"/>
  <c r="AC559" i="19"/>
  <c r="AC558" i="19"/>
  <c r="AC557" i="19"/>
  <c r="AC556" i="19"/>
  <c r="AC555" i="19"/>
  <c r="AC554" i="19"/>
  <c r="AC553" i="19"/>
  <c r="AC552" i="19"/>
  <c r="AC551" i="19"/>
  <c r="AC550" i="19"/>
  <c r="AC549" i="19"/>
  <c r="AC548" i="19"/>
  <c r="AC547" i="19"/>
  <c r="AC546" i="19"/>
  <c r="AC545" i="19"/>
  <c r="AC544" i="19"/>
  <c r="AC543" i="19"/>
  <c r="AC542" i="19"/>
  <c r="AC541" i="19"/>
  <c r="AC540" i="19"/>
  <c r="AC539" i="19"/>
  <c r="AC538" i="19"/>
  <c r="AC537" i="19"/>
  <c r="AC536" i="19"/>
  <c r="AC535" i="19"/>
  <c r="AC534" i="19"/>
  <c r="AC533" i="19"/>
  <c r="AC532" i="19"/>
  <c r="AC531" i="19"/>
  <c r="AC530" i="19"/>
  <c r="AC529" i="19"/>
  <c r="AC528" i="19"/>
  <c r="AC527" i="19"/>
  <c r="AC526" i="19"/>
  <c r="AC525" i="19"/>
  <c r="AC524" i="19"/>
  <c r="AC523" i="19"/>
  <c r="AC522" i="19"/>
  <c r="AC521" i="19"/>
  <c r="AC520" i="19"/>
  <c r="AC519" i="19"/>
  <c r="AC518" i="19"/>
  <c r="AC517" i="19"/>
  <c r="AC516" i="19"/>
  <c r="AC515" i="19"/>
  <c r="AC514" i="19"/>
  <c r="AC513" i="19"/>
  <c r="AC512" i="19"/>
  <c r="AC511" i="19"/>
  <c r="AC510" i="19"/>
  <c r="AC509" i="19"/>
  <c r="AC508" i="19"/>
  <c r="AC507" i="19"/>
  <c r="AC506" i="19"/>
  <c r="AC505" i="19"/>
  <c r="AC504" i="19"/>
  <c r="AC503" i="19"/>
  <c r="AC502" i="19"/>
  <c r="AC501" i="19"/>
  <c r="AC500" i="19"/>
  <c r="AC499" i="19"/>
  <c r="AC498" i="19"/>
  <c r="AC497" i="19"/>
  <c r="AC496" i="19"/>
  <c r="AC495" i="19"/>
  <c r="AC494" i="19"/>
  <c r="AC493" i="19"/>
  <c r="AC492" i="19"/>
  <c r="AC491" i="19"/>
  <c r="AC490" i="19"/>
  <c r="AC489" i="19"/>
  <c r="AC488" i="19"/>
  <c r="AC487" i="19"/>
  <c r="AC486" i="19"/>
  <c r="AC485" i="19"/>
  <c r="AC484" i="19"/>
  <c r="AC483" i="19"/>
  <c r="AC482" i="19"/>
  <c r="AC481" i="19"/>
  <c r="AC480" i="19"/>
  <c r="AC479" i="19"/>
  <c r="AC478" i="19"/>
  <c r="AC477" i="19"/>
  <c r="AC476" i="19"/>
  <c r="AC475" i="19"/>
  <c r="AC474" i="19"/>
  <c r="AC473" i="19"/>
  <c r="AC472" i="19"/>
  <c r="AC471" i="19"/>
  <c r="AC470" i="19"/>
  <c r="AC469" i="19"/>
  <c r="AC468" i="19"/>
  <c r="AC467" i="19"/>
  <c r="AC466" i="19"/>
  <c r="AC465" i="19"/>
  <c r="AC464" i="19"/>
  <c r="AC463" i="19"/>
  <c r="AC462" i="19"/>
  <c r="AC461" i="19"/>
  <c r="AC460" i="19"/>
  <c r="AC459" i="19"/>
  <c r="AC458" i="19"/>
  <c r="AC457" i="19"/>
  <c r="AC456" i="19"/>
  <c r="AC455" i="19"/>
  <c r="AC454" i="19"/>
  <c r="AC453" i="19"/>
  <c r="AC452" i="19"/>
  <c r="AC451" i="19"/>
  <c r="AC450" i="19"/>
  <c r="AC449" i="19"/>
  <c r="AC448" i="19"/>
  <c r="AC447" i="19"/>
  <c r="AC446" i="19"/>
  <c r="AC445" i="19"/>
  <c r="AC444" i="19"/>
  <c r="AC443" i="19"/>
  <c r="AC442" i="19"/>
  <c r="AC441" i="19"/>
  <c r="AC440" i="19"/>
  <c r="AC439" i="19"/>
  <c r="AC438" i="19"/>
  <c r="AC437" i="19"/>
  <c r="AC436" i="19"/>
  <c r="AC435" i="19"/>
  <c r="AC434" i="19"/>
  <c r="AC433" i="19"/>
  <c r="AC432" i="19"/>
  <c r="AC431" i="19"/>
  <c r="AC430" i="19"/>
  <c r="AC429" i="19"/>
  <c r="AC428" i="19"/>
  <c r="AC427" i="19"/>
  <c r="AC426" i="19"/>
  <c r="AC425" i="19"/>
  <c r="AC424" i="19"/>
  <c r="AC423" i="19"/>
  <c r="AC422" i="19"/>
  <c r="AC421" i="19"/>
  <c r="AC420" i="19"/>
  <c r="AC419" i="19"/>
  <c r="AC418" i="19"/>
  <c r="AC417" i="19"/>
  <c r="AC416" i="19"/>
  <c r="AC415" i="19"/>
  <c r="AC414" i="19"/>
  <c r="AC413" i="19"/>
  <c r="AC412" i="19"/>
  <c r="AC411" i="19"/>
  <c r="AC410" i="19"/>
  <c r="AC409" i="19"/>
  <c r="AC408" i="19"/>
  <c r="AC407" i="19"/>
  <c r="AC406" i="19"/>
  <c r="AC405" i="19"/>
  <c r="AC404" i="19"/>
  <c r="AC403" i="19"/>
  <c r="AC402" i="19"/>
  <c r="AC401" i="19"/>
  <c r="AC400" i="19"/>
  <c r="AC399" i="19"/>
  <c r="AC398" i="19"/>
  <c r="AC397" i="19"/>
  <c r="AC396" i="19"/>
  <c r="AC395" i="19"/>
  <c r="AC394" i="19"/>
  <c r="AC393" i="19"/>
  <c r="AC392" i="19"/>
  <c r="AC391" i="19"/>
  <c r="AC390" i="19"/>
  <c r="AC389" i="19"/>
  <c r="AC388" i="19"/>
  <c r="AC387" i="19"/>
  <c r="AC386" i="19"/>
  <c r="AC385" i="19"/>
  <c r="AC384" i="19"/>
  <c r="AC383" i="19"/>
  <c r="AC382" i="19"/>
  <c r="AC381" i="19"/>
  <c r="AC380" i="19"/>
  <c r="AC379" i="19"/>
  <c r="AC378" i="19"/>
  <c r="AC377" i="19"/>
  <c r="AC376" i="19"/>
  <c r="AC375" i="19"/>
  <c r="AC374" i="19"/>
  <c r="AC373" i="19"/>
  <c r="AC372" i="19"/>
  <c r="AC371" i="19"/>
  <c r="AC370" i="19"/>
  <c r="AC369" i="19"/>
  <c r="AC368" i="19"/>
  <c r="AC367" i="19"/>
  <c r="AC366" i="19"/>
  <c r="AC365" i="19"/>
  <c r="AC364" i="19"/>
  <c r="AC363" i="19"/>
  <c r="AC362" i="19"/>
  <c r="AC361" i="19"/>
  <c r="AC360" i="19"/>
  <c r="AC359" i="19"/>
  <c r="AC358" i="19"/>
  <c r="AC357" i="19"/>
  <c r="AC356" i="19"/>
  <c r="AC355" i="19"/>
  <c r="AC354" i="19"/>
  <c r="AC353" i="19"/>
  <c r="AC352" i="19"/>
  <c r="AC351" i="19"/>
  <c r="AC350" i="19"/>
  <c r="AC349" i="19"/>
  <c r="AC348" i="19"/>
  <c r="AC347" i="19"/>
  <c r="AC346" i="19"/>
  <c r="AC345" i="19"/>
  <c r="AC344" i="19"/>
  <c r="AC343" i="19"/>
  <c r="AC342" i="19"/>
  <c r="AC341" i="19"/>
  <c r="AC340" i="19"/>
  <c r="AC339" i="19"/>
  <c r="AC338" i="19"/>
  <c r="AC337" i="19"/>
  <c r="AC336" i="19"/>
  <c r="AC335" i="19"/>
  <c r="AC334" i="19"/>
  <c r="AC333" i="19"/>
  <c r="AC332" i="19"/>
  <c r="AC331" i="19"/>
  <c r="AC330" i="19"/>
  <c r="AC329" i="19"/>
  <c r="AC328" i="19"/>
  <c r="AC327" i="19"/>
  <c r="AC326" i="19"/>
  <c r="AC325" i="19"/>
  <c r="AC324" i="19"/>
  <c r="AC323" i="19"/>
  <c r="AC322" i="19"/>
  <c r="AC321" i="19"/>
  <c r="AC320" i="19"/>
  <c r="AC319" i="19"/>
  <c r="AC318" i="19"/>
  <c r="AC317" i="19"/>
  <c r="AC316" i="19"/>
  <c r="AC315" i="19"/>
  <c r="AC314" i="19"/>
  <c r="AC313" i="19"/>
  <c r="AC312" i="19"/>
  <c r="AC311" i="19"/>
  <c r="AC310" i="19"/>
  <c r="AC309" i="19"/>
  <c r="AC308" i="19"/>
  <c r="AC307" i="19"/>
  <c r="AC306" i="19"/>
  <c r="AC305" i="19"/>
  <c r="AC304" i="19"/>
  <c r="AC303" i="19"/>
  <c r="AC302" i="19"/>
  <c r="AC301" i="19"/>
  <c r="AC300" i="19"/>
  <c r="AC299" i="19"/>
  <c r="AC298" i="19"/>
  <c r="AC297" i="19"/>
  <c r="AC296" i="19"/>
  <c r="AC295" i="19"/>
  <c r="AC294" i="19"/>
  <c r="AC293" i="19"/>
  <c r="AC292" i="19"/>
  <c r="AC291" i="19"/>
  <c r="AC290" i="19"/>
  <c r="AC289" i="19"/>
  <c r="AC288" i="19"/>
  <c r="AC287" i="19"/>
  <c r="AC286" i="19"/>
  <c r="AC285" i="19"/>
  <c r="AC284" i="19"/>
  <c r="AC283" i="19"/>
  <c r="AC282" i="19"/>
  <c r="AC281" i="19"/>
  <c r="AC280" i="19"/>
  <c r="AC279" i="19"/>
  <c r="AC278" i="19"/>
  <c r="AC277" i="19"/>
  <c r="AC276" i="19"/>
  <c r="AC275" i="19"/>
  <c r="AC274" i="19"/>
  <c r="AC273" i="19"/>
  <c r="AC272" i="19"/>
  <c r="AC271" i="19"/>
  <c r="AC270" i="19"/>
  <c r="AC269" i="19"/>
  <c r="AC268" i="19"/>
  <c r="AC267" i="19"/>
  <c r="AC266" i="19"/>
  <c r="AC265" i="19"/>
  <c r="AC264" i="19"/>
  <c r="AC263" i="19"/>
  <c r="AC262" i="19"/>
  <c r="AC261" i="19"/>
  <c r="AC260" i="19"/>
  <c r="AC259" i="19"/>
  <c r="AC258" i="19"/>
  <c r="AC257" i="19"/>
  <c r="AC256" i="19"/>
  <c r="AC255" i="19"/>
  <c r="AC254" i="19"/>
  <c r="AC253" i="19"/>
  <c r="AC252" i="19"/>
  <c r="AC251" i="19"/>
  <c r="AC250" i="19"/>
  <c r="AC249" i="19"/>
  <c r="AC248" i="19"/>
  <c r="AC247" i="19"/>
  <c r="AC246" i="19"/>
  <c r="AC245" i="19"/>
  <c r="AC244" i="19"/>
  <c r="AC243" i="19"/>
  <c r="AC242" i="19"/>
  <c r="AC241" i="19"/>
  <c r="AC240" i="19"/>
  <c r="AC239" i="19"/>
  <c r="AC238" i="19"/>
  <c r="AC237" i="19"/>
  <c r="AC236" i="19"/>
  <c r="AC235" i="19"/>
  <c r="AC234" i="19"/>
  <c r="AC233" i="19"/>
  <c r="AC232" i="19"/>
  <c r="AC231" i="19"/>
  <c r="AC230" i="19"/>
  <c r="AC229" i="19"/>
  <c r="AC228" i="19"/>
  <c r="AC227" i="19"/>
  <c r="AC226" i="19"/>
  <c r="AC225" i="19"/>
  <c r="AC224" i="19"/>
  <c r="AC223" i="19"/>
  <c r="AC222" i="19"/>
  <c r="AC221" i="19"/>
  <c r="AC220" i="19"/>
  <c r="AC219" i="19"/>
  <c r="AC218" i="19"/>
  <c r="AC217" i="19"/>
  <c r="AC216" i="19"/>
  <c r="AC215" i="19"/>
  <c r="AC214" i="19"/>
  <c r="AC213" i="19"/>
  <c r="AC212" i="19"/>
  <c r="AC211" i="19"/>
  <c r="AC210" i="19"/>
  <c r="AC209" i="19"/>
  <c r="AC208" i="19"/>
  <c r="AC207" i="19"/>
  <c r="AC206" i="19"/>
  <c r="AC205" i="19"/>
  <c r="AC204" i="19"/>
  <c r="AC203" i="19"/>
  <c r="AC202" i="19"/>
  <c r="AC201" i="19"/>
  <c r="AC200" i="19"/>
  <c r="AC199" i="19"/>
  <c r="AC198" i="19"/>
  <c r="AC197" i="19"/>
  <c r="AC196" i="19"/>
  <c r="AC195" i="19"/>
  <c r="AC194" i="19"/>
  <c r="AC193" i="19"/>
  <c r="AC192" i="19"/>
  <c r="AC191" i="19"/>
  <c r="AC190" i="19"/>
  <c r="AC189" i="19"/>
  <c r="AC188" i="19"/>
  <c r="AC187" i="19"/>
  <c r="AC186" i="19"/>
  <c r="AC185" i="19"/>
  <c r="AC184" i="19"/>
  <c r="AC183" i="19"/>
  <c r="AC182" i="19"/>
  <c r="AC181" i="19"/>
  <c r="AC180" i="19"/>
  <c r="AC179" i="19"/>
  <c r="AC178" i="19"/>
  <c r="AC177" i="19"/>
  <c r="AC176" i="19"/>
  <c r="AC175" i="19"/>
  <c r="AC174" i="19"/>
  <c r="AC173" i="19"/>
  <c r="AC172" i="19"/>
  <c r="AC171" i="19"/>
  <c r="AC170" i="19"/>
  <c r="AC169" i="19"/>
  <c r="AC168" i="19"/>
  <c r="AC167" i="19"/>
  <c r="AC166" i="19"/>
  <c r="AC165" i="19"/>
  <c r="AC164" i="19"/>
  <c r="AC163" i="19"/>
  <c r="AC162" i="19"/>
  <c r="AC161" i="19"/>
  <c r="AC160" i="19"/>
  <c r="AC159" i="19"/>
  <c r="AC158" i="19"/>
  <c r="AC157" i="19"/>
  <c r="AC156" i="19"/>
  <c r="AC155" i="19"/>
  <c r="AC154" i="19"/>
  <c r="AC153" i="19"/>
  <c r="AC152" i="19"/>
  <c r="AC151" i="19"/>
  <c r="AC150" i="19"/>
  <c r="AC149" i="19"/>
  <c r="AC148" i="19"/>
  <c r="AC147" i="19"/>
  <c r="AC146" i="19"/>
  <c r="AC145" i="19"/>
  <c r="AC144" i="19"/>
  <c r="AC143" i="19"/>
  <c r="AC142" i="19"/>
  <c r="AC141" i="19"/>
  <c r="AC140" i="19"/>
  <c r="AC139" i="19"/>
  <c r="AC138" i="19"/>
  <c r="AC137" i="19"/>
  <c r="AC136" i="19"/>
  <c r="AC135" i="19"/>
  <c r="AC134" i="19"/>
  <c r="AC133" i="19"/>
  <c r="AC132" i="19"/>
  <c r="AC131" i="19"/>
  <c r="AC130" i="19"/>
  <c r="AC129" i="19"/>
  <c r="AC128" i="19"/>
  <c r="AC127" i="19"/>
  <c r="AC126" i="19"/>
  <c r="AC125" i="19"/>
  <c r="AC124" i="19"/>
  <c r="AC123" i="19"/>
  <c r="AC122" i="19"/>
  <c r="AC121" i="19"/>
  <c r="AC120" i="19"/>
  <c r="AC119" i="19"/>
  <c r="AC118" i="19"/>
  <c r="AC117" i="19"/>
  <c r="AC116" i="19"/>
  <c r="AC115" i="19"/>
  <c r="AC114" i="19"/>
  <c r="AC113" i="19"/>
  <c r="AC112" i="19"/>
  <c r="AC111" i="19"/>
  <c r="AC110" i="19"/>
  <c r="AC109" i="19"/>
  <c r="AC108" i="19"/>
  <c r="AC107" i="19"/>
  <c r="AC106" i="19"/>
  <c r="AC105" i="19"/>
  <c r="AC104" i="19"/>
  <c r="AC103" i="19"/>
  <c r="AC102" i="19"/>
  <c r="AC101" i="19"/>
  <c r="AC100" i="19"/>
  <c r="AC99" i="19"/>
  <c r="AC98" i="19"/>
  <c r="AC97" i="19"/>
  <c r="AC96" i="19"/>
  <c r="AC95" i="19"/>
  <c r="AC94" i="19"/>
  <c r="AC93" i="19"/>
  <c r="AC92" i="19"/>
  <c r="AC91" i="19"/>
  <c r="AC90" i="19"/>
  <c r="AC89" i="19"/>
  <c r="AC88" i="19"/>
  <c r="AC87" i="19"/>
  <c r="AC86" i="19"/>
  <c r="AC85" i="19"/>
  <c r="AC84" i="19"/>
  <c r="AC83" i="19"/>
  <c r="AC82" i="19"/>
  <c r="AC81" i="19"/>
  <c r="AC80" i="19"/>
  <c r="AC79" i="19"/>
  <c r="AC78" i="19"/>
  <c r="AC77" i="19"/>
  <c r="AC76" i="19"/>
  <c r="AC75" i="19"/>
  <c r="AC74" i="19"/>
  <c r="AC73" i="19"/>
  <c r="AC72" i="19"/>
  <c r="AC71" i="19"/>
  <c r="AC70" i="19"/>
  <c r="AC69" i="19"/>
  <c r="AC68" i="19"/>
  <c r="AC67" i="19"/>
  <c r="AC66" i="19"/>
  <c r="AC65" i="19"/>
  <c r="AC64" i="19"/>
  <c r="AC63" i="19"/>
  <c r="AC62" i="19"/>
  <c r="AC61" i="19"/>
  <c r="AC60" i="19"/>
  <c r="AC59" i="19"/>
  <c r="AC58" i="19"/>
  <c r="AC57" i="19"/>
  <c r="AC56" i="19"/>
  <c r="AC55" i="19"/>
  <c r="AC54" i="19"/>
  <c r="AC53" i="19"/>
  <c r="AC52" i="19"/>
  <c r="AC51" i="19"/>
  <c r="AC50" i="19"/>
  <c r="AC49" i="19"/>
  <c r="AC48" i="19"/>
  <c r="AC47" i="19"/>
  <c r="AC46" i="19"/>
  <c r="AC45" i="19"/>
  <c r="AC44" i="19"/>
  <c r="AC43" i="19"/>
  <c r="AC42" i="19"/>
  <c r="AC41" i="19"/>
  <c r="AC40" i="19"/>
  <c r="AC39" i="19"/>
  <c r="AC38" i="19"/>
  <c r="AC37" i="19"/>
  <c r="AC36" i="19"/>
  <c r="AC35" i="19"/>
  <c r="AC34" i="19"/>
  <c r="AC33" i="19"/>
  <c r="AC32" i="19"/>
  <c r="AC31" i="19"/>
  <c r="AC30" i="19"/>
  <c r="AC29" i="19"/>
  <c r="AC28" i="19"/>
  <c r="AC27" i="19"/>
  <c r="AC26" i="19"/>
  <c r="AC25" i="19"/>
  <c r="AC24" i="19"/>
  <c r="AC23" i="19"/>
  <c r="AC22" i="19"/>
  <c r="AC21" i="19"/>
  <c r="AC20" i="19"/>
  <c r="AC19" i="19"/>
  <c r="AC18" i="19"/>
  <c r="AC17" i="19"/>
  <c r="AC16" i="19"/>
  <c r="AC15" i="19"/>
  <c r="AC14" i="19"/>
  <c r="AC13" i="19"/>
  <c r="AC12" i="19"/>
  <c r="AC11" i="19"/>
  <c r="AC10" i="19"/>
  <c r="AC9" i="19"/>
  <c r="AC8" i="19"/>
  <c r="AC7" i="19"/>
  <c r="AC6" i="19"/>
  <c r="AC5" i="19"/>
  <c r="AC4" i="19"/>
  <c r="AC3" i="19"/>
  <c r="AC2" i="19"/>
  <c r="P47" i="18"/>
  <c r="P45" i="18"/>
  <c r="E40" i="18"/>
  <c r="P19" i="18"/>
  <c r="P18" i="18"/>
  <c r="P15" i="18"/>
  <c r="P13" i="18"/>
  <c r="P12" i="18"/>
  <c r="F10" i="18"/>
  <c r="P48" i="18" l="1"/>
  <c r="P46" i="18"/>
  <c r="J24" i="18"/>
  <c r="K24" i="18" s="1"/>
  <c r="J12" i="18"/>
  <c r="K12" i="18" s="1"/>
  <c r="P16" i="18" s="1"/>
  <c r="J27" i="18"/>
  <c r="K27" i="18" s="1"/>
  <c r="J19" i="18"/>
  <c r="K19" i="18" s="1"/>
  <c r="J11" i="18"/>
  <c r="K11" i="18" s="1"/>
  <c r="P21" i="18" s="1"/>
  <c r="J26" i="18"/>
  <c r="K26" i="18" s="1"/>
  <c r="J18" i="18"/>
  <c r="K18" i="18" s="1"/>
  <c r="J33" i="18"/>
  <c r="K33" i="18" s="1"/>
  <c r="J25" i="18"/>
  <c r="K25" i="18" s="1"/>
  <c r="J17" i="18"/>
  <c r="K17" i="18" s="1"/>
  <c r="J32" i="18"/>
  <c r="K32" i="18" s="1"/>
  <c r="J31" i="18"/>
  <c r="K31" i="18" s="1"/>
  <c r="J23" i="18"/>
  <c r="K23" i="18" s="1"/>
  <c r="J15" i="18"/>
  <c r="K15" i="18" s="1"/>
  <c r="J16" i="18"/>
  <c r="K16" i="18" s="1"/>
  <c r="J30" i="18"/>
  <c r="K30" i="18" s="1"/>
  <c r="J22" i="18"/>
  <c r="K22" i="18" s="1"/>
  <c r="J14" i="18"/>
  <c r="K14" i="18" s="1"/>
  <c r="J29" i="18"/>
  <c r="K29" i="18" s="1"/>
  <c r="J21" i="18"/>
  <c r="K21" i="18" s="1"/>
  <c r="J13" i="18"/>
  <c r="K13" i="18" s="1"/>
  <c r="J28" i="18"/>
  <c r="K28" i="18" s="1"/>
  <c r="J20" i="18"/>
  <c r="K20" i="18" s="1"/>
  <c r="K65" i="18"/>
  <c r="Q23" i="11" s="1"/>
  <c r="L2" i="11"/>
  <c r="E158" i="1"/>
  <c r="E157" i="1"/>
  <c r="E156" i="1"/>
  <c r="E155" i="1"/>
  <c r="E154" i="1"/>
  <c r="E153" i="1"/>
  <c r="E152" i="1"/>
  <c r="E151" i="1"/>
  <c r="E150" i="1"/>
  <c r="E149" i="1"/>
  <c r="E148" i="1"/>
  <c r="E147" i="1"/>
  <c r="E146" i="1"/>
  <c r="E145" i="1"/>
  <c r="E144" i="1"/>
  <c r="E143" i="1"/>
  <c r="E142" i="1"/>
  <c r="E136" i="1"/>
  <c r="E135" i="1"/>
  <c r="E134" i="1"/>
  <c r="E133" i="1"/>
  <c r="E132" i="1"/>
  <c r="D131" i="1"/>
  <c r="E131" i="1" s="1"/>
  <c r="E130" i="1"/>
  <c r="E129" i="1"/>
  <c r="E128" i="1"/>
  <c r="E127" i="1"/>
  <c r="E126" i="1"/>
  <c r="E121" i="1"/>
  <c r="E120" i="1"/>
  <c r="E119" i="1"/>
  <c r="E118" i="1"/>
  <c r="E117" i="1"/>
  <c r="E116" i="1"/>
  <c r="E115" i="1"/>
  <c r="E114" i="1"/>
  <c r="E113" i="1"/>
  <c r="E112" i="1"/>
  <c r="E111" i="1"/>
  <c r="E110" i="1"/>
  <c r="E109" i="1"/>
  <c r="E108" i="1"/>
  <c r="E107" i="1"/>
  <c r="E106" i="1"/>
  <c r="E105" i="1"/>
  <c r="E104" i="1"/>
  <c r="E103" i="1"/>
  <c r="E102" i="1"/>
  <c r="E101" i="1"/>
  <c r="E100" i="1"/>
  <c r="E95" i="1"/>
  <c r="E94" i="1"/>
  <c r="E93" i="1"/>
  <c r="E92" i="1"/>
  <c r="E74" i="1"/>
  <c r="E73" i="1"/>
  <c r="E72" i="1"/>
  <c r="E71" i="1"/>
  <c r="E70" i="1"/>
  <c r="E69" i="1"/>
  <c r="E68" i="1"/>
  <c r="E67" i="1"/>
  <c r="E66" i="1"/>
  <c r="E65" i="1"/>
  <c r="E64" i="1"/>
  <c r="E63" i="1"/>
  <c r="E62" i="1"/>
  <c r="E61" i="1"/>
  <c r="E60" i="1"/>
  <c r="E59" i="1"/>
  <c r="E58" i="1"/>
  <c r="E57" i="1"/>
  <c r="E56" i="1"/>
  <c r="E55" i="1"/>
  <c r="E180" i="4"/>
  <c r="E179" i="4"/>
  <c r="E178" i="4"/>
  <c r="E177" i="4"/>
  <c r="E176" i="4"/>
  <c r="E175" i="4"/>
  <c r="E174" i="4"/>
  <c r="E173" i="4"/>
  <c r="E172" i="4"/>
  <c r="E171" i="4"/>
  <c r="E170" i="4"/>
  <c r="E169" i="4"/>
  <c r="E168" i="4"/>
  <c r="E167" i="4"/>
  <c r="E166" i="4"/>
  <c r="E165" i="4"/>
  <c r="E164" i="4"/>
  <c r="E81" i="4"/>
  <c r="E82" i="4"/>
  <c r="E83" i="4"/>
  <c r="E84" i="4"/>
  <c r="E129" i="4"/>
  <c r="E130" i="4"/>
  <c r="E131" i="4"/>
  <c r="E132" i="4"/>
  <c r="E133" i="4"/>
  <c r="E134" i="4"/>
  <c r="E135" i="4"/>
  <c r="E136" i="4"/>
  <c r="E137" i="4"/>
  <c r="E147" i="4"/>
  <c r="E149" i="4"/>
  <c r="E148" i="4"/>
  <c r="E146" i="4"/>
  <c r="E145" i="4"/>
  <c r="E144" i="4"/>
  <c r="E143" i="4"/>
  <c r="E142" i="4"/>
  <c r="C20" i="15"/>
  <c r="C20" i="14"/>
  <c r="C20" i="16"/>
  <c r="D6" i="10"/>
  <c r="T4" i="9"/>
  <c r="W4" i="5"/>
  <c r="T4" i="1"/>
  <c r="T48" i="4"/>
  <c r="T49" i="4"/>
  <c r="T50" i="4"/>
  <c r="T51" i="4"/>
  <c r="T52" i="4"/>
  <c r="T53" i="4"/>
  <c r="T54" i="4"/>
  <c r="T19" i="4"/>
  <c r="T20" i="4"/>
  <c r="T22" i="4"/>
  <c r="T24" i="4"/>
  <c r="T26" i="4"/>
  <c r="T27" i="4"/>
  <c r="T28" i="4"/>
  <c r="T29" i="4"/>
  <c r="T30" i="4"/>
  <c r="T31" i="4"/>
  <c r="T32" i="4"/>
  <c r="T33" i="4"/>
  <c r="T34" i="4"/>
  <c r="T35" i="4"/>
  <c r="T36" i="4"/>
  <c r="T37" i="4"/>
  <c r="T38" i="4"/>
  <c r="T39" i="4"/>
  <c r="T40" i="4"/>
  <c r="T41" i="4"/>
  <c r="T42" i="4"/>
  <c r="T43" i="4"/>
  <c r="T44" i="4"/>
  <c r="T45" i="4"/>
  <c r="T46" i="4"/>
  <c r="T47" i="4"/>
  <c r="P17" i="18" l="1"/>
  <c r="P20" i="18"/>
  <c r="P14" i="18"/>
  <c r="K35" i="18"/>
  <c r="Q28" i="11" s="1"/>
  <c r="E122" i="1"/>
  <c r="E89" i="1"/>
  <c r="E137" i="1"/>
  <c r="T56" i="4"/>
  <c r="T6" i="9" l="1"/>
  <c r="P6" i="10"/>
  <c r="L4" i="6"/>
  <c r="L4" i="4"/>
  <c r="L4" i="11"/>
  <c r="B52" i="11" s="1"/>
  <c r="C22" i="14"/>
  <c r="C22" i="16"/>
  <c r="C14" i="15"/>
  <c r="C13" i="15"/>
  <c r="C12" i="15"/>
  <c r="C11" i="15"/>
  <c r="C10" i="15"/>
  <c r="C9" i="15"/>
  <c r="C8" i="15"/>
  <c r="C6" i="15"/>
  <c r="C5" i="15"/>
  <c r="C4" i="15"/>
  <c r="C14" i="14"/>
  <c r="C13" i="14"/>
  <c r="C12" i="14"/>
  <c r="C11" i="14"/>
  <c r="C10" i="14"/>
  <c r="C9" i="14"/>
  <c r="C8" i="14"/>
  <c r="C6" i="14"/>
  <c r="C5" i="14"/>
  <c r="C4" i="14"/>
  <c r="C13" i="16"/>
  <c r="C11" i="16"/>
  <c r="C10" i="16"/>
  <c r="C9" i="16"/>
  <c r="C14" i="16"/>
  <c r="C12" i="16"/>
  <c r="C8" i="16"/>
  <c r="C6" i="16"/>
  <c r="C5" i="16"/>
  <c r="C4" i="16"/>
  <c r="D5" i="10" l="1"/>
  <c r="D4" i="10"/>
  <c r="Q6" i="11"/>
  <c r="P54" i="4" l="1"/>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3" i="4"/>
  <c r="P22" i="4"/>
  <c r="P21" i="4"/>
  <c r="P19" i="4"/>
  <c r="E150" i="4" l="1"/>
  <c r="E151" i="4"/>
  <c r="E152" i="4"/>
  <c r="E153" i="4" l="1"/>
  <c r="E111" i="4"/>
  <c r="E110" i="4"/>
  <c r="E109" i="4"/>
  <c r="E108" i="4"/>
  <c r="E128" i="4"/>
  <c r="E127" i="4"/>
  <c r="E126" i="4"/>
  <c r="E125" i="4"/>
  <c r="E124" i="4"/>
  <c r="E123" i="4"/>
  <c r="E122" i="4"/>
  <c r="E121" i="4"/>
  <c r="E120" i="4"/>
  <c r="E119" i="4"/>
  <c r="E118" i="4"/>
  <c r="E117" i="4"/>
  <c r="E116" i="4"/>
  <c r="E90" i="4"/>
  <c r="E89" i="4"/>
  <c r="E88" i="4"/>
  <c r="E87" i="4"/>
  <c r="E86" i="4"/>
  <c r="E85" i="4"/>
  <c r="E80" i="4"/>
  <c r="E79" i="4"/>
  <c r="E78" i="4"/>
  <c r="E77" i="4"/>
  <c r="E76" i="4"/>
  <c r="E75" i="4"/>
  <c r="E74" i="4"/>
  <c r="E73" i="4"/>
  <c r="E72" i="4"/>
  <c r="E71" i="4"/>
  <c r="E138" i="4" l="1"/>
  <c r="E105" i="4"/>
  <c r="J38" i="6" l="1"/>
  <c r="S38" i="6" s="1" a="1"/>
  <c r="S38" i="6" s="1"/>
  <c r="T38" i="6" s="1"/>
  <c r="J39" i="6"/>
  <c r="S39" i="6" s="1" a="1"/>
  <c r="S39" i="6" s="1"/>
  <c r="T39" i="6" s="1"/>
  <c r="J40" i="6"/>
  <c r="S40" i="6" s="1" a="1"/>
  <c r="S40" i="6" s="1"/>
  <c r="T40" i="6" s="1"/>
  <c r="J41" i="6"/>
  <c r="S41" i="6" s="1" a="1"/>
  <c r="S41" i="6" s="1"/>
  <c r="T41" i="6" s="1"/>
  <c r="J42" i="6"/>
  <c r="S42" i="6" s="1" a="1"/>
  <c r="S42" i="6" s="1"/>
  <c r="T42" i="6" s="1"/>
  <c r="J52" i="5"/>
  <c r="I52" i="5"/>
  <c r="H52" i="5"/>
  <c r="G52" i="5"/>
  <c r="F52" i="5"/>
  <c r="J51" i="5"/>
  <c r="I51" i="5"/>
  <c r="H51" i="5"/>
  <c r="G51" i="5"/>
  <c r="F51" i="5"/>
  <c r="J50" i="5"/>
  <c r="I50" i="5"/>
  <c r="H50" i="5"/>
  <c r="G50" i="5"/>
  <c r="F50" i="5"/>
  <c r="J49" i="5"/>
  <c r="I49" i="5"/>
  <c r="H49" i="5"/>
  <c r="G49" i="5"/>
  <c r="F49" i="5"/>
  <c r="J48" i="5"/>
  <c r="I48" i="5"/>
  <c r="H48" i="5"/>
  <c r="G48" i="5"/>
  <c r="F48" i="5"/>
  <c r="F28" i="5"/>
  <c r="H28" i="5"/>
  <c r="G29" i="5"/>
  <c r="I29" i="5"/>
  <c r="G30" i="5"/>
  <c r="H30" i="5"/>
  <c r="J30" i="5"/>
  <c r="G31" i="5"/>
  <c r="I31" i="5"/>
  <c r="G32" i="5"/>
  <c r="I32" i="5"/>
  <c r="J32" i="5"/>
  <c r="F33" i="5"/>
  <c r="H33" i="5"/>
  <c r="J33" i="5"/>
  <c r="G34" i="5"/>
  <c r="G35" i="5"/>
  <c r="H35" i="5"/>
  <c r="G36" i="5"/>
  <c r="I36" i="5"/>
  <c r="G37" i="5"/>
  <c r="J37" i="5"/>
  <c r="F38" i="5"/>
  <c r="G39" i="5"/>
  <c r="G40" i="5"/>
  <c r="H40" i="5"/>
  <c r="G41" i="5"/>
  <c r="I41" i="5"/>
  <c r="G42" i="5"/>
  <c r="J42" i="5"/>
  <c r="F43" i="5"/>
  <c r="G44" i="5"/>
  <c r="G45" i="5"/>
  <c r="H45" i="5"/>
  <c r="G46" i="5"/>
  <c r="I46" i="5"/>
  <c r="G47" i="5"/>
  <c r="J47" i="5"/>
  <c r="Q6" i="6"/>
  <c r="O20" i="10"/>
  <c r="O21" i="10"/>
  <c r="O22" i="10"/>
  <c r="O23" i="10"/>
  <c r="O24" i="10"/>
  <c r="O25" i="10"/>
  <c r="O26" i="10"/>
  <c r="O27" i="10"/>
  <c r="O28" i="10"/>
  <c r="O29" i="10"/>
  <c r="O30" i="10"/>
  <c r="O31" i="10"/>
  <c r="O32" i="10"/>
  <c r="O33" i="10"/>
  <c r="O34" i="10"/>
  <c r="O35" i="10"/>
  <c r="O36" i="10"/>
  <c r="O37" i="10"/>
  <c r="O38" i="10"/>
  <c r="O39" i="10"/>
  <c r="O40" i="10"/>
  <c r="O41" i="10"/>
  <c r="O42" i="10"/>
  <c r="O43" i="10"/>
  <c r="O44" i="10"/>
  <c r="O45" i="10"/>
  <c r="O46" i="10"/>
  <c r="O47" i="10"/>
  <c r="O48" i="10"/>
  <c r="O49" i="10"/>
  <c r="O50" i="10"/>
  <c r="O51" i="10"/>
  <c r="O52" i="10"/>
  <c r="O53" i="10"/>
  <c r="O54" i="10"/>
  <c r="O55" i="10"/>
  <c r="C4" i="9"/>
  <c r="C6" i="9"/>
  <c r="C5" i="9"/>
  <c r="C6" i="6"/>
  <c r="C5" i="6"/>
  <c r="D6" i="5"/>
  <c r="D5" i="5"/>
  <c r="Q6" i="4"/>
  <c r="C6" i="4"/>
  <c r="C5" i="4"/>
  <c r="T6" i="1"/>
  <c r="C6" i="11"/>
  <c r="C5" i="11"/>
  <c r="C5" i="1"/>
  <c r="W6" i="5"/>
  <c r="D4" i="5"/>
  <c r="C4" i="6"/>
  <c r="C4" i="4"/>
  <c r="C4" i="11"/>
  <c r="C6" i="1"/>
  <c r="C4" i="1"/>
  <c r="H19" i="5" l="1"/>
  <c r="J19" i="5"/>
  <c r="G19" i="5"/>
  <c r="F19" i="5"/>
  <c r="I19" i="5"/>
  <c r="J19" i="6"/>
  <c r="S19" i="6" s="1" a="1"/>
  <c r="S19" i="6" s="1"/>
  <c r="T19" i="6" s="1"/>
  <c r="J20" i="6"/>
  <c r="J21" i="6"/>
  <c r="S21" i="6" s="1" a="1"/>
  <c r="S21" i="6" s="1"/>
  <c r="T21" i="6" s="1"/>
  <c r="J22" i="6"/>
  <c r="S22" i="6" s="1" a="1"/>
  <c r="S22" i="6" s="1"/>
  <c r="T22" i="6" s="1"/>
  <c r="J23" i="6"/>
  <c r="S23" i="6" s="1" a="1"/>
  <c r="S23" i="6" s="1"/>
  <c r="T23" i="6" s="1"/>
  <c r="J24" i="6"/>
  <c r="S24" i="6" s="1" a="1"/>
  <c r="S24" i="6" s="1"/>
  <c r="T24" i="6" s="1"/>
  <c r="J25" i="6"/>
  <c r="S25" i="6" s="1" a="1"/>
  <c r="S25" i="6" s="1"/>
  <c r="T25" i="6" s="1"/>
  <c r="J26" i="6"/>
  <c r="S26" i="6" s="1" a="1"/>
  <c r="S26" i="6" s="1"/>
  <c r="T26" i="6" s="1"/>
  <c r="J27" i="6"/>
  <c r="S27" i="6" s="1" a="1"/>
  <c r="S27" i="6" s="1"/>
  <c r="T27" i="6" s="1"/>
  <c r="J28" i="6"/>
  <c r="S28" i="6" s="1" a="1"/>
  <c r="S28" i="6" s="1"/>
  <c r="T28" i="6" s="1"/>
  <c r="J29" i="6"/>
  <c r="S29" i="6" s="1" a="1"/>
  <c r="S29" i="6" s="1"/>
  <c r="T29" i="6" s="1"/>
  <c r="J30" i="6"/>
  <c r="S30" i="6" s="1" a="1"/>
  <c r="S30" i="6" s="1"/>
  <c r="T30" i="6" s="1"/>
  <c r="J31" i="6"/>
  <c r="S31" i="6" s="1" a="1"/>
  <c r="S31" i="6" s="1"/>
  <c r="T31" i="6" s="1"/>
  <c r="J32" i="6"/>
  <c r="S32" i="6" s="1" a="1"/>
  <c r="S32" i="6" s="1"/>
  <c r="T32" i="6" s="1"/>
  <c r="J33" i="6"/>
  <c r="S33" i="6" s="1" a="1"/>
  <c r="S33" i="6" s="1"/>
  <c r="T33" i="6" s="1"/>
  <c r="J34" i="6"/>
  <c r="S34" i="6" s="1" a="1"/>
  <c r="S34" i="6" s="1"/>
  <c r="T34" i="6" s="1"/>
  <c r="J35" i="6"/>
  <c r="S35" i="6" s="1" a="1"/>
  <c r="S35" i="6" s="1"/>
  <c r="T35" i="6" s="1"/>
  <c r="J36" i="6"/>
  <c r="S36" i="6" s="1" a="1"/>
  <c r="S36" i="6" s="1"/>
  <c r="T36" i="6" s="1"/>
  <c r="J37" i="6"/>
  <c r="S37" i="6" s="1" a="1"/>
  <c r="S37" i="6" s="1"/>
  <c r="T37" i="6" s="1"/>
  <c r="S20" i="6" l="1" a="1"/>
  <c r="S20" i="6" s="1"/>
  <c r="T20" i="6" s="1"/>
  <c r="P20" i="6"/>
  <c r="S18" i="6" a="1"/>
  <c r="S18" i="6" s="1"/>
  <c r="T18" i="6" s="1"/>
  <c r="F44" i="6"/>
  <c r="J44" i="6" s="1"/>
  <c r="G23" i="11" s="1"/>
  <c r="J57" i="10"/>
  <c r="E57" i="10"/>
  <c r="H57" i="10" s="1"/>
  <c r="G28" i="11" s="1"/>
  <c r="G20" i="9"/>
  <c r="F20" i="9"/>
  <c r="E20" i="9"/>
  <c r="D20" i="9"/>
  <c r="C20" i="9"/>
  <c r="G19" i="1"/>
  <c r="F19" i="1"/>
  <c r="E19" i="1"/>
  <c r="D19" i="1"/>
  <c r="C19" i="1"/>
  <c r="T44" i="6" l="1"/>
  <c r="Q18" i="11" s="1"/>
  <c r="Q44" i="11" s="1"/>
  <c r="M57" i="10"/>
  <c r="L28" i="11" s="1"/>
  <c r="N44" i="6"/>
  <c r="L23" i="11" s="1"/>
  <c r="K56" i="4"/>
  <c r="E56" i="4"/>
  <c r="I56" i="4" l="1"/>
  <c r="G18" i="11" s="1"/>
  <c r="E44" i="11"/>
  <c r="N56" i="4"/>
  <c r="L18" i="11" s="1"/>
  <c r="N44" i="11" l="1"/>
  <c r="I4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Belsey</author>
  </authors>
  <commentList>
    <comment ref="G10" authorId="0" shapeId="0" xr:uid="{0E41A291-8995-4731-A0BD-A0FB7D7E4F19}">
      <text>
        <r>
          <rPr>
            <sz val="12"/>
            <color indexed="81"/>
            <rFont val="Tahoma"/>
            <family val="2"/>
          </rPr>
          <t>Use this column if the journey is being taken multiple times, if there are multiple passengers for bus, coach, ferry, plane, taxi or train, or if there are multiple vehicles doing the same journey for car or van.</t>
        </r>
      </text>
    </comment>
    <comment ref="F40" authorId="0" shapeId="0" xr:uid="{88878090-B244-4A5C-A7D5-E1D87A9FA7EB}">
      <text>
        <r>
          <rPr>
            <sz val="12"/>
            <color indexed="81"/>
            <rFont val="Tahoma"/>
            <family val="2"/>
          </rPr>
          <t>For vans and HGVs this is an optional field. Only provide if you have this information for a more accurate estimate.</t>
        </r>
      </text>
    </comment>
    <comment ref="G40" authorId="0" shapeId="0" xr:uid="{5E04B95B-7CB9-4375-AA15-730D92A357DD}">
      <text>
        <r>
          <rPr>
            <sz val="12"/>
            <color indexed="81"/>
            <rFont val="Tahoma"/>
            <family val="2"/>
          </rPr>
          <t>Use this column if the journey is being taken multiple times or if there are multiple vehicles doing the same journey.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Mikkel Rubæk</author>
  </authors>
  <commentList>
    <comment ref="G25" authorId="0" shapeId="0" xr:uid="{E9360A9D-0070-4C70-BA67-0B7A3456FCC3}">
      <text>
        <r>
          <rPr>
            <b/>
            <sz val="9"/>
            <color indexed="81"/>
            <rFont val="Tahoma"/>
            <family val="2"/>
          </rPr>
          <t>Mikkel Rubæk:</t>
        </r>
        <r>
          <rPr>
            <sz val="9"/>
            <color indexed="81"/>
            <rFont val="Tahoma"/>
            <family val="2"/>
          </rPr>
          <t xml:space="preserve">
En lastbil udleder 877g CO2 pr. kørt km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Mikkel Rubæk</author>
  </authors>
  <commentList>
    <comment ref="G23" authorId="0" shapeId="0" xr:uid="{CC1F5426-CA39-F747-A3AC-D8602B4FAAAA}">
      <text>
        <r>
          <rPr>
            <b/>
            <sz val="9"/>
            <color rgb="FF000000"/>
            <rFont val="Tahoma"/>
            <family val="2"/>
          </rPr>
          <t>Mikkel Rubæk:</t>
        </r>
        <r>
          <rPr>
            <sz val="9"/>
            <color rgb="FF000000"/>
            <rFont val="Tahoma"/>
            <family val="2"/>
          </rPr>
          <t xml:space="preserve">
</t>
        </r>
        <r>
          <rPr>
            <sz val="9"/>
            <color rgb="FF000000"/>
            <rFont val="Tahoma"/>
            <family val="2"/>
          </rPr>
          <t xml:space="preserve">En lastbil udleder 877g CO2 pr. kørt km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<sst xmlns="http://schemas.openxmlformats.org/spreadsheetml/2006/main" count="7561" uniqueCount="745">
  <si>
    <t>materiale</t>
  </si>
  <si>
    <t>noter</t>
  </si>
  <si>
    <t>transport</t>
  </si>
  <si>
    <t>Kilde</t>
  </si>
  <si>
    <t>Varen</t>
  </si>
  <si>
    <t>bortskaffelse</t>
  </si>
  <si>
    <t>Transport</t>
  </si>
  <si>
    <t>fremtidig
brug</t>
  </si>
  <si>
    <t>brugt
før?</t>
  </si>
  <si>
    <t>Nej</t>
  </si>
  <si>
    <t>Varens endeligt</t>
  </si>
  <si>
    <t>THE GREEEN THEATRE BOOK</t>
  </si>
  <si>
    <t>Destination</t>
  </si>
  <si>
    <t>Genbrug
Mængde (kg)</t>
  </si>
  <si>
    <t xml:space="preserve"> </t>
  </si>
  <si>
    <t>REUSED / RECYCLED - direct</t>
  </si>
  <si>
    <t>REUSED / RECYCLED - modified</t>
  </si>
  <si>
    <t>REUSED / RECYCLED - purchased</t>
  </si>
  <si>
    <t>NEW MATERIALS - 'good'</t>
  </si>
  <si>
    <t>Sets and scenery</t>
  </si>
  <si>
    <t>Costumes</t>
  </si>
  <si>
    <t>Props and furniture</t>
  </si>
  <si>
    <t>Source</t>
  </si>
  <si>
    <t>Totals</t>
  </si>
  <si>
    <t>TOTAL AMOUNT (kg)</t>
  </si>
  <si>
    <t>% recycled or made from recycled materials</t>
  </si>
  <si>
    <t>% recycled or used as recycled materials</t>
  </si>
  <si>
    <t>1-4: Excellent. Safe disposal</t>
  </si>
  <si>
    <t>5-9: Good. Could be done better?</t>
  </si>
  <si>
    <t>10-12: Acceptable. Could be done better?</t>
  </si>
  <si>
    <t>15-16: Bad. Could be done better?</t>
  </si>
  <si>
    <t>Baseline target</t>
  </si>
  <si>
    <t>Advanced target</t>
  </si>
  <si>
    <t>Intermediate target</t>
  </si>
  <si>
    <t>Date</t>
  </si>
  <si>
    <t>Production manager</t>
  </si>
  <si>
    <t>Elements</t>
  </si>
  <si>
    <t>NEW MATERIALS - 'bad'</t>
  </si>
  <si>
    <t xml:space="preserve">e.g.Direct use of existing elements such as modular scenery, standard components.
</t>
  </si>
  <si>
    <t>e.g. Modified components.</t>
  </si>
  <si>
    <t>e.g. Salvaged materials such as. recycled cardboard, textiles, metals, timber.</t>
  </si>
  <si>
    <t>e.g. Plant-based materials &amp; textiles, wood from sustainable sources, materials from accredited zero carbon sources.</t>
  </si>
  <si>
    <t>e.g. Polystyrene, aluminium, vinyls, polycarbonate, hardwoods, softwood from unsustainable sources.</t>
  </si>
  <si>
    <t>Element / material</t>
  </si>
  <si>
    <t xml:space="preserve">Element </t>
  </si>
  <si>
    <t>20-25: Unacceptable. Could be done better?</t>
  </si>
  <si>
    <t>Props and Furniture</t>
  </si>
  <si>
    <t>Discarded</t>
  </si>
  <si>
    <t>Elements by weight</t>
  </si>
  <si>
    <t>Element</t>
  </si>
  <si>
    <t>Material</t>
  </si>
  <si>
    <t>Remarks</t>
  </si>
  <si>
    <t>Amount (kg)</t>
  </si>
  <si>
    <t>Score/points</t>
  </si>
  <si>
    <t>Total</t>
  </si>
  <si>
    <t>Recycling amount (kg)</t>
  </si>
  <si>
    <t>All calculations are based on an average weight per costume</t>
  </si>
  <si>
    <t>% for recycling</t>
  </si>
  <si>
    <t>Prop item / furniture item</t>
  </si>
  <si>
    <t>Props item / furniture item</t>
  </si>
  <si>
    <t xml:space="preserve">Direct use of props or furniture from stock
</t>
  </si>
  <si>
    <t xml:space="preserve">Modified/adapted props or furniture from stock (or production from existing materials)
</t>
  </si>
  <si>
    <t>Costume</t>
  </si>
  <si>
    <t>\</t>
  </si>
  <si>
    <t xml:space="preserve">Minimal adjustments (under 2 hours)
</t>
  </si>
  <si>
    <t xml:space="preserve">Major adaptations / supply of new materials or reuse of materials from stock
</t>
  </si>
  <si>
    <t>Shopping in thrift stores incl. adjustments</t>
  </si>
  <si>
    <t>New production and procurement with predominantly sustainable materials</t>
  </si>
  <si>
    <t>New production and purchases with predominantly - non-sustainable materials</t>
  </si>
  <si>
    <t>Costume/type</t>
  </si>
  <si>
    <t>Method of acquisition</t>
  </si>
  <si>
    <t>est. weight (kg)</t>
  </si>
  <si>
    <t>LARGER FEMALE COSTUME ELEMENT
(Coat, skirt, underskirt, TUTU)</t>
  </si>
  <si>
    <t>LARGER MALE COSTUME ELEMENT
(Coat, jacket, shirt, trousers)</t>
  </si>
  <si>
    <t>MEDIUM FEMALE or MALE ELEMENT
(Blouse, skirt, jacket, dress/trousers, sweater, jacket)</t>
  </si>
  <si>
    <t>LIGHT MALE or FEMALE COSTUME 
(T-shirt, underwear)</t>
  </si>
  <si>
    <t>SHOES (fill in number of PAIRS if more than 15 pairs of shoes)</t>
  </si>
  <si>
    <t>From stock/min. adjustments</t>
  </si>
  <si>
    <t>From storage/larger additions</t>
  </si>
  <si>
    <t>From a thrift shop with an adjustment</t>
  </si>
  <si>
    <t>New production (good)</t>
  </si>
  <si>
    <t>New production (bad)</t>
  </si>
  <si>
    <t>Number of costumes</t>
  </si>
  <si>
    <t>Weight (kg)</t>
  </si>
  <si>
    <t>Costume - Budget</t>
  </si>
  <si>
    <t>total kg</t>
  </si>
  <si>
    <t>volume (m3)</t>
  </si>
  <si>
    <t>weight per m3 (kg)</t>
  </si>
  <si>
    <t>Certified European softwood</t>
  </si>
  <si>
    <t>Other softwood</t>
  </si>
  <si>
    <t>Certified European hardwood</t>
  </si>
  <si>
    <t>Other hardwood</t>
  </si>
  <si>
    <t>Weight and Volume Calculators</t>
  </si>
  <si>
    <t>Sheet material weight calculator</t>
  </si>
  <si>
    <t>no. of sheets</t>
  </si>
  <si>
    <t>weight per sheet (kg)</t>
  </si>
  <si>
    <t>Timber volume calculator</t>
  </si>
  <si>
    <t>overall length (mm)</t>
  </si>
  <si>
    <t>w (mm)</t>
  </si>
  <si>
    <t>h (mm)</t>
  </si>
  <si>
    <t>m3</t>
  </si>
  <si>
    <t>total m3</t>
  </si>
  <si>
    <t>Steel weight calculator</t>
  </si>
  <si>
    <t>Aluminium weight calculator</t>
  </si>
  <si>
    <t>Timber weight calculator</t>
  </si>
  <si>
    <t>weight per m (kg)</t>
  </si>
  <si>
    <t>Weight Guide</t>
  </si>
  <si>
    <t>Furniture</t>
  </si>
  <si>
    <t>Bed</t>
  </si>
  <si>
    <t>Large antique double</t>
  </si>
  <si>
    <t>Light modern double</t>
  </si>
  <si>
    <t>Large antique single</t>
  </si>
  <si>
    <t>Light modern single</t>
  </si>
  <si>
    <t>Bunks</t>
  </si>
  <si>
    <t>Antique 3-seater</t>
  </si>
  <si>
    <t>Light modern 3-seater</t>
  </si>
  <si>
    <t>Antique 2-seater</t>
  </si>
  <si>
    <t>Light modern 2-seater</t>
  </si>
  <si>
    <t>Large antique armchair</t>
  </si>
  <si>
    <t>Light modern armchair</t>
  </si>
  <si>
    <t xml:space="preserve">Dining </t>
  </si>
  <si>
    <t>Large antique dining table</t>
  </si>
  <si>
    <t>Antique dining chairs (each)</t>
  </si>
  <si>
    <t>6-place modern table</t>
  </si>
  <si>
    <t>Modern dining chairs (each)</t>
  </si>
  <si>
    <t>Storage</t>
  </si>
  <si>
    <t>Large antique armoire</t>
  </si>
  <si>
    <t>Large antique chest of drawers</t>
  </si>
  <si>
    <t>Light modern chest of drawers</t>
  </si>
  <si>
    <t>Large coffee table</t>
  </si>
  <si>
    <t>Small coffee table</t>
  </si>
  <si>
    <t>Light modern wardrobe</t>
  </si>
  <si>
    <t>Accessories</t>
  </si>
  <si>
    <t>Large floor lamp</t>
  </si>
  <si>
    <t>Small table lamp</t>
  </si>
  <si>
    <t>Small floor rug</t>
  </si>
  <si>
    <t>Large floor rug</t>
  </si>
  <si>
    <t>Building components</t>
  </si>
  <si>
    <t>Staircases</t>
  </si>
  <si>
    <t>Steel spiral stair, one storey</t>
  </si>
  <si>
    <t>Doors</t>
  </si>
  <si>
    <t>Windows</t>
  </si>
  <si>
    <t>Heavy panelled wooden single door</t>
  </si>
  <si>
    <t>Lightweight wooden single door</t>
  </si>
  <si>
    <t>Birch plywood 2.4 x 1.2 x 4mm EURO C</t>
  </si>
  <si>
    <t>Birch plywood 2.4 x 1.2 x 6mm EURO C</t>
  </si>
  <si>
    <t>Birch plywood 2.4 x 1.2 x12mm</t>
  </si>
  <si>
    <t>Birch plywood 2.4 x 1.2 x18mm</t>
  </si>
  <si>
    <t>WISA plywood 2.4 x 1.2 x 18mm N/F/P</t>
  </si>
  <si>
    <t>MDF 2.4 x 1.2 x18mm N/F/P</t>
  </si>
  <si>
    <t>MDF 3 x 1.5 x18mm N/F/P</t>
  </si>
  <si>
    <t>MDF 3 x 1.2 x6mm F/P</t>
  </si>
  <si>
    <t>MDF 3 x 1.2 x9mm F/P</t>
  </si>
  <si>
    <t>MDF 3 x 1.2 x12mm F/P</t>
  </si>
  <si>
    <r>
      <t xml:space="preserve">Purchased </t>
    </r>
    <r>
      <rPr>
        <b/>
        <sz val="10"/>
        <color theme="2" tint="-0.499984740745262"/>
        <rFont val="Calibri"/>
        <family val="2"/>
        <scheme val="minor"/>
      </rPr>
      <t>second-hand</t>
    </r>
    <r>
      <rPr>
        <sz val="10"/>
        <color theme="2" tint="-0.499984740745262"/>
        <rFont val="Calibri"/>
        <family val="2"/>
        <scheme val="minor"/>
      </rPr>
      <t xml:space="preserve"> props or furniture</t>
    </r>
  </si>
  <si>
    <t>Sets and Scenery</t>
  </si>
  <si>
    <t>Final</t>
  </si>
  <si>
    <t>TOTALS</t>
  </si>
  <si>
    <t>kg</t>
  </si>
  <si>
    <t>%</t>
  </si>
  <si>
    <t>Return to store</t>
  </si>
  <si>
    <t>xx</t>
  </si>
  <si>
    <t>Passed on / sold</t>
  </si>
  <si>
    <t>Item</t>
  </si>
  <si>
    <t>Estimate</t>
  </si>
  <si>
    <t>Key decisions:</t>
  </si>
  <si>
    <t>Step 1</t>
  </si>
  <si>
    <t>Step 2</t>
  </si>
  <si>
    <t>Concept and Development</t>
  </si>
  <si>
    <t>Step 3</t>
  </si>
  <si>
    <t>Making a Sustainable Production</t>
  </si>
  <si>
    <t>Disposal</t>
  </si>
  <si>
    <t>Step 4</t>
  </si>
  <si>
    <t>Step 5</t>
  </si>
  <si>
    <t>After the Production</t>
  </si>
  <si>
    <t>Theatre</t>
  </si>
  <si>
    <t xml:space="preserve">Theatre Green Book Production </t>
  </si>
  <si>
    <t>TARGET</t>
  </si>
  <si>
    <t>Principal new materials only</t>
  </si>
  <si>
    <t>Carbon              (Advanced shows)</t>
  </si>
  <si>
    <t>copy appropriate figure into column S</t>
  </si>
  <si>
    <t>copy appropriate carbon factor for each material into column S from the tables below</t>
  </si>
  <si>
    <r>
      <t xml:space="preserve">for </t>
    </r>
    <r>
      <rPr>
        <b/>
        <i/>
        <sz val="14"/>
        <color rgb="FFFF0000"/>
        <rFont val="Calibri"/>
        <family val="2"/>
        <scheme val="minor"/>
      </rPr>
      <t>Advanced</t>
    </r>
    <r>
      <rPr>
        <i/>
        <sz val="14"/>
        <color rgb="FFFF0000"/>
        <rFont val="Calibri"/>
        <family val="2"/>
        <scheme val="minor"/>
      </rPr>
      <t xml:space="preserve"> shows only</t>
    </r>
  </si>
  <si>
    <t>Fill in quantities, then copy the weights into the table above</t>
  </si>
  <si>
    <t>New materials</t>
  </si>
  <si>
    <t xml:space="preserve">Deliveries </t>
  </si>
  <si>
    <t>Estimated Green Profile</t>
  </si>
  <si>
    <t>Fill in items (ignore very small items)</t>
  </si>
  <si>
    <t>Estimate weights, using the tables below. Give small items a nominal 1kg</t>
  </si>
  <si>
    <t>Copy the appropriate scores for 'Source' and 'Destination' into the form</t>
  </si>
  <si>
    <t>Fill in materials</t>
  </si>
  <si>
    <t>Estimate weights, using the tables below</t>
  </si>
  <si>
    <t>If invoices show weight of steel, fill this in directly in the box above. Otherwise, use the table below to calculate overall weight.</t>
  </si>
  <si>
    <t>In column E, fill out the number of costumes of each type. Other cells fill out automatically.</t>
  </si>
  <si>
    <t>Under 'Destination', score what happenes to each after the production.</t>
  </si>
  <si>
    <t xml:space="preserve">Travel Calculator </t>
  </si>
  <si>
    <t>Touring</t>
  </si>
  <si>
    <t>Production</t>
  </si>
  <si>
    <t>Type of production</t>
  </si>
  <si>
    <t>Producer</t>
  </si>
  <si>
    <t>Director</t>
  </si>
  <si>
    <t>Designer</t>
  </si>
  <si>
    <t>Production Manager</t>
  </si>
  <si>
    <t>Costume lead</t>
  </si>
  <si>
    <t>Props lead</t>
  </si>
  <si>
    <t>Workshop lead</t>
  </si>
  <si>
    <t>Date /Season</t>
  </si>
  <si>
    <t>Costume designer</t>
  </si>
  <si>
    <t xml:space="preserve">Intermediate Standard </t>
  </si>
  <si>
    <t>Advanced Standard</t>
  </si>
  <si>
    <t>Target</t>
  </si>
  <si>
    <t>Title</t>
  </si>
  <si>
    <t>Season</t>
  </si>
  <si>
    <t>Type of Production</t>
  </si>
  <si>
    <t xml:space="preserve">Date </t>
  </si>
  <si>
    <t>Furniture lead</t>
  </si>
  <si>
    <t>Once you've set a target, go to the appropriate worksheet:</t>
  </si>
  <si>
    <t>Start by filling in general information about the production, and choosing a target</t>
  </si>
  <si>
    <t>THANKS</t>
  </si>
  <si>
    <t>With thanks to the many people who have helped develop this Production Calculator, including Citizens Theatre Glasgow, Evie Redfern, National Theatre, National Theatre Scotland, National Theatre Wales, Royal Opera House, Royal Theatres Copenhagen, Netherlands Opera and Ballet, Deutsche Theatertechnische Gesellschaft</t>
  </si>
  <si>
    <t>Bedside unit</t>
  </si>
  <si>
    <t>Other</t>
  </si>
  <si>
    <t>Large desk</t>
  </si>
  <si>
    <t>Small desk</t>
  </si>
  <si>
    <t>Welsh dresser</t>
  </si>
  <si>
    <t>Grandfather clock</t>
  </si>
  <si>
    <t>Office</t>
  </si>
  <si>
    <t>Filing cabinet, large</t>
  </si>
  <si>
    <t>Filing cabinet, small</t>
  </si>
  <si>
    <t>Office chair</t>
  </si>
  <si>
    <t>Sofas and armchairs</t>
  </si>
  <si>
    <t>Piano</t>
  </si>
  <si>
    <t>Appliances</t>
  </si>
  <si>
    <t>Cooker</t>
  </si>
  <si>
    <t>Washing machine</t>
  </si>
  <si>
    <t>Tumble-dryer</t>
  </si>
  <si>
    <t>Microwave</t>
  </si>
  <si>
    <t>Laptop</t>
  </si>
  <si>
    <t>Computer + screen, keyboard etc</t>
  </si>
  <si>
    <t>Photocopier</t>
  </si>
  <si>
    <t>Tall fridge / freezer</t>
  </si>
  <si>
    <t>Under counter fridge</t>
  </si>
  <si>
    <t>Carpets</t>
  </si>
  <si>
    <t>Bath</t>
  </si>
  <si>
    <t>Toilet</t>
  </si>
  <si>
    <t>Vanity unit</t>
  </si>
  <si>
    <t>Large sash</t>
  </si>
  <si>
    <t>Small casement</t>
  </si>
  <si>
    <t>Fitted carpet, per m2</t>
  </si>
  <si>
    <t>overall length (m)</t>
  </si>
  <si>
    <t>40 x 40 x 1.6</t>
  </si>
  <si>
    <t>50 x 50 x 1.6</t>
  </si>
  <si>
    <t>26 x 26 x 1.6</t>
  </si>
  <si>
    <t>40 x 40 x 3.3</t>
  </si>
  <si>
    <t>26 x 26 x 3.3</t>
  </si>
  <si>
    <t>25 x 6 flat</t>
  </si>
  <si>
    <t>Square: 15.88 x 15.88 x 1.5 x (6.1m)</t>
  </si>
  <si>
    <t>Square: 20 x 20 x 1.5  @ (6.1m)</t>
  </si>
  <si>
    <t>Square: 25 x 25 x 1.5 @ (6.1m)</t>
  </si>
  <si>
    <t>Square: 40 x 40 x 1.5  @ (6.1m)</t>
  </si>
  <si>
    <t>Square: 50 x 50 x 3 @ (7.5m)</t>
  </si>
  <si>
    <t>Square: 50 x 50 x 1.5  @ (6.1m)</t>
  </si>
  <si>
    <t>Square: 80 x 80 x 2 @ (6.1m)</t>
  </si>
  <si>
    <t>Square: 25 x 25 x 1.2 @ (6.1m)</t>
  </si>
  <si>
    <t>Rectangular: 40 x 20 x 1.5 @ (6.1m)</t>
  </si>
  <si>
    <t>Rectangular: 50 x 25 x 1.5 @ (6.1m)</t>
  </si>
  <si>
    <t>Rectangular: 60 x 40 x 1.5 @ (6.1m)</t>
  </si>
  <si>
    <t>Rectangular: 75 x 25 x 1.5 @ (6.1m)</t>
  </si>
  <si>
    <t>Rectangular: 80 x 40 x 2 @ (6.1m)</t>
  </si>
  <si>
    <t>EAG: 25 x 25 x 3 @ (6.4m)</t>
  </si>
  <si>
    <t>EAG: 25 x 25 x 5 @ (6.4m)</t>
  </si>
  <si>
    <t>EAG: 40 x 40 x 4 @ (6.4m)</t>
  </si>
  <si>
    <t>EAG: 60 x 60 x 5 @ (6.4m)</t>
  </si>
  <si>
    <t>Flat: 40 x 5 @ (6.4m)</t>
  </si>
  <si>
    <t>Flat: 60 x 5 @ (6.4m)</t>
  </si>
  <si>
    <t>Flat: 110 x 10 x (6.4m)</t>
  </si>
  <si>
    <t>Circ: 25 x 2 CHS @(6.1)</t>
  </si>
  <si>
    <t>Circ: 48.3 x 3 @ (7.6m)</t>
  </si>
  <si>
    <t>Birch plywood 2.4 x 1.2 x 9mm</t>
  </si>
  <si>
    <t>Birch plywood 2.4 x 1.2 x 25mm</t>
  </si>
  <si>
    <t>Birch plywood 3 x 1.5 x 25 mm</t>
  </si>
  <si>
    <t>Birch plywood 3 x 1.5 x 6 mm</t>
  </si>
  <si>
    <t>Birch plywood 3 x 1.5 x 18 mm</t>
  </si>
  <si>
    <t>Softwood plywood 2.4 x 1.2 x 4 mm</t>
  </si>
  <si>
    <t>Softwood plywood 2.4 x 1.2 x 6 mm</t>
  </si>
  <si>
    <t>Softwood plywood 2.4 x 1.2 x 9 mm</t>
  </si>
  <si>
    <t>Softwood plywood 2.4 x 1.2 x 12 mm</t>
  </si>
  <si>
    <t>Softwood plywood 2.4 x 1.2 x 18 mm</t>
  </si>
  <si>
    <t>Plastics  weight calculator</t>
  </si>
  <si>
    <t>Twinwall: 6mm (6000mm x 2100mm)</t>
  </si>
  <si>
    <t>Twinwall: 10mm (6100mm x 2100mm)</t>
  </si>
  <si>
    <t>Twinwall: 6mm (2500mm x 1200mm)</t>
  </si>
  <si>
    <t>6mm Clear PolyCarb (8x4)</t>
  </si>
  <si>
    <t>6mm Clear PolyCarb 2050mm x 4049mm</t>
  </si>
  <si>
    <t>20mm Clear PolyCarb (8x4)</t>
  </si>
  <si>
    <t>Diabond 3mm Mirror (2500mm x 1250mm)</t>
  </si>
  <si>
    <t>Polystyrene sheet (8x4) 25mm MDFRA</t>
  </si>
  <si>
    <t>Polystyrene sheet (8x4) 50mm MDFRA</t>
  </si>
  <si>
    <t>Polystyrene sheet (8x4) 75mm MDFRA</t>
  </si>
  <si>
    <t>Polystyrene sheet (8x4) 150mm MDFRA</t>
  </si>
  <si>
    <t>Polystyrene sheet (8x4) 300mm MDFRA</t>
  </si>
  <si>
    <t>150mm x 150mm Poly Molding</t>
  </si>
  <si>
    <t>300mm x 150mm Poly Molding</t>
  </si>
  <si>
    <t>300mm x 300mm Poly Molding</t>
  </si>
  <si>
    <t>PU18 Yellow Soft Foam 25mm (2000 x 1000)</t>
  </si>
  <si>
    <t>PU18 Yellow Soft Foam 50mm (2000 x 1000)</t>
  </si>
  <si>
    <t>ANGLE 6082T6 50.8mm x 50.8mm x 6.35mm</t>
  </si>
  <si>
    <t>ANGLE 6082T6 38.1mm x 38,1mm x 4.7mm</t>
  </si>
  <si>
    <t>FLAT 6082T6 38.1mm x 3.175mm</t>
  </si>
  <si>
    <t>FLAT 6082T6 50.8 x 3.175mm</t>
  </si>
  <si>
    <t>32 OD 7SWG SCAFFOLD 6082 T6 20 FT</t>
  </si>
  <si>
    <t>'X' below who is filling in the Standard</t>
  </si>
  <si>
    <t>% (from TOTAL worksheet)</t>
  </si>
  <si>
    <t>Neither the Theatre Green Book, nor its writers and sponsors, are liable for any damages which may result indirectly or directly from applying or using the Theatre Green Book and its contents. No warranty or guarantee is given or implied about the accuracy, reliability, completeness or suitability of advice contained in the Theatre Green Book. It is offered in good faith to help theatre-makers move towards more sustainable practice, but using the contents is solely at the risk and responsibility of users.</t>
  </si>
  <si>
    <t>NOTE</t>
  </si>
  <si>
    <t>Prepare for a Sustainable Production</t>
  </si>
  <si>
    <r>
      <t xml:space="preserve">• </t>
    </r>
    <r>
      <rPr>
        <b/>
        <sz val="14"/>
        <color theme="9"/>
        <rFont val="Calibri"/>
        <family val="2"/>
        <scheme val="minor"/>
      </rPr>
      <t>NEW MATERIALS</t>
    </r>
    <r>
      <rPr>
        <sz val="14"/>
        <color theme="1"/>
        <rFont val="Calibri"/>
        <family val="2"/>
        <scheme val="minor"/>
      </rPr>
      <t xml:space="preserve"> : Source new materials sustainably if possible</t>
    </r>
    <r>
      <rPr>
        <i/>
        <sz val="14"/>
        <color theme="1"/>
        <rFont val="Calibri"/>
        <family val="2"/>
        <scheme val="minor"/>
      </rPr>
      <t xml:space="preserve">. </t>
    </r>
    <r>
      <rPr>
        <sz val="14"/>
        <color theme="1"/>
        <rFont val="Calibri"/>
        <family val="2"/>
        <scheme val="minor"/>
      </rPr>
      <t>Avoid PVC, tropical hardwoods and polystyrene where possible.</t>
    </r>
  </si>
  <si>
    <t>Use the TRAVEL worksheet</t>
  </si>
  <si>
    <r>
      <t xml:space="preserve">• </t>
    </r>
    <r>
      <rPr>
        <b/>
        <sz val="14"/>
        <color theme="9"/>
        <rFont val="Calibri"/>
        <family val="2"/>
        <scheme val="minor"/>
      </rPr>
      <t>REUSE AND RECYCLING</t>
    </r>
    <r>
      <rPr>
        <sz val="14"/>
        <color theme="9"/>
        <rFont val="Calibri"/>
        <family val="2"/>
        <scheme val="minor"/>
      </rPr>
      <t xml:space="preserve"> </t>
    </r>
    <r>
      <rPr>
        <sz val="14"/>
        <color theme="1"/>
        <rFont val="Calibri"/>
        <family val="2"/>
        <scheme val="minor"/>
      </rPr>
      <t xml:space="preserve">: Check you've achieved the target of </t>
    </r>
    <r>
      <rPr>
        <b/>
        <sz val="14"/>
        <color theme="9"/>
        <rFont val="Calibri"/>
        <family val="2"/>
        <scheme val="minor"/>
      </rPr>
      <t>65%</t>
    </r>
    <r>
      <rPr>
        <sz val="14"/>
        <color theme="1"/>
        <rFont val="Calibri"/>
        <family val="2"/>
        <scheme val="minor"/>
      </rPr>
      <t xml:space="preserve"> reused / recycled for sustainable disposal.</t>
    </r>
  </si>
  <si>
    <r>
      <t xml:space="preserve">• </t>
    </r>
    <r>
      <rPr>
        <b/>
        <sz val="14"/>
        <color theme="9"/>
        <rFont val="Calibri (Body)"/>
      </rPr>
      <t>REVIEW</t>
    </r>
    <r>
      <rPr>
        <sz val="14"/>
        <color theme="9"/>
        <rFont val="Calibri"/>
        <family val="2"/>
        <scheme val="minor"/>
      </rPr>
      <t xml:space="preserve"> </t>
    </r>
    <r>
      <rPr>
        <sz val="14"/>
        <color theme="1"/>
        <rFont val="Calibri"/>
        <family val="2"/>
        <scheme val="minor"/>
      </rPr>
      <t>: Assess results. Share lessons learned with future teams.</t>
    </r>
  </si>
  <si>
    <t>To achieve Intermediate standard, √ all the coloured boxes and as many of the others as possible</t>
  </si>
  <si>
    <r>
      <t xml:space="preserve">• </t>
    </r>
    <r>
      <rPr>
        <b/>
        <sz val="14"/>
        <color theme="9"/>
        <rFont val="Calibri"/>
        <family val="2"/>
        <scheme val="minor"/>
      </rPr>
      <t>PRODUCING</t>
    </r>
    <r>
      <rPr>
        <sz val="14"/>
        <color theme="1"/>
        <rFont val="Calibri"/>
        <family val="2"/>
        <scheme val="minor"/>
      </rPr>
      <t xml:space="preserve"> : Provide an information pack of in-house and local resources to support sustainability. </t>
    </r>
    <r>
      <rPr>
        <sz val="14"/>
        <color theme="1"/>
        <rFont val="Calibri (Body)"/>
      </rPr>
      <t xml:space="preserve"> Offer climate literacy training to key team members, including freelancers. </t>
    </r>
  </si>
  <si>
    <t>To achieve Advanced standard, √ all the coloured boxes and as many of the others as possible</t>
  </si>
  <si>
    <r>
      <t xml:space="preserve">• </t>
    </r>
    <r>
      <rPr>
        <b/>
        <sz val="14"/>
        <color theme="9"/>
        <rFont val="Calibri"/>
        <family val="2"/>
        <scheme val="minor"/>
      </rPr>
      <t>CONCEPT and DEVELOPMENT</t>
    </r>
    <r>
      <rPr>
        <sz val="14"/>
        <color theme="1"/>
        <rFont val="Calibri"/>
        <family val="2"/>
        <scheme val="minor"/>
      </rPr>
      <t xml:space="preserve"> : Connect with productions in the same season to </t>
    </r>
    <r>
      <rPr>
        <b/>
        <sz val="14"/>
        <color theme="9"/>
        <rFont val="Calibri (Body)"/>
      </rPr>
      <t xml:space="preserve">SHARE and REUSE </t>
    </r>
    <r>
      <rPr>
        <sz val="14"/>
        <color theme="1"/>
        <rFont val="Calibri"/>
        <family val="2"/>
        <scheme val="minor"/>
      </rPr>
      <t>materials.</t>
    </r>
  </si>
  <si>
    <r>
      <t xml:space="preserve">• </t>
    </r>
    <r>
      <rPr>
        <b/>
        <sz val="14"/>
        <color theme="9"/>
        <rFont val="Calibri"/>
        <family val="2"/>
        <scheme val="minor"/>
      </rPr>
      <t>CONCEPT and DEVELOPMENT</t>
    </r>
    <r>
      <rPr>
        <sz val="14"/>
        <color theme="1"/>
        <rFont val="Calibri"/>
        <family val="2"/>
        <scheme val="minor"/>
      </rPr>
      <t xml:space="preserve"> : Use </t>
    </r>
    <r>
      <rPr>
        <b/>
        <sz val="14"/>
        <color theme="9"/>
        <rFont val="Calibri (Body)"/>
      </rPr>
      <t>MODULAR COMPONENTS</t>
    </r>
    <r>
      <rPr>
        <sz val="14"/>
        <color theme="1"/>
        <rFont val="Calibri"/>
        <family val="2"/>
        <scheme val="minor"/>
      </rPr>
      <t xml:space="preserve"> where possible to support recycling.</t>
    </r>
  </si>
  <si>
    <r>
      <t xml:space="preserve">• </t>
    </r>
    <r>
      <rPr>
        <b/>
        <sz val="14"/>
        <color theme="9"/>
        <rFont val="Calibri"/>
        <family val="2"/>
        <scheme val="minor"/>
      </rPr>
      <t>CO-PRODUCTION / TOURING</t>
    </r>
    <r>
      <rPr>
        <sz val="14"/>
        <color theme="1"/>
        <rFont val="Calibri"/>
        <family val="2"/>
        <scheme val="minor"/>
      </rPr>
      <t xml:space="preserve"> : Plan the tour route to reduce travel and use sustainable travel methods. Only co-produce with companies that have reached overall Baseline standard, and tour to theatres that have a commitment to sustainability. </t>
    </r>
  </si>
  <si>
    <t>Use the Scenery and TRAVEL worksheets</t>
  </si>
  <si>
    <t>Use the Production worksheets</t>
  </si>
  <si>
    <r>
      <t xml:space="preserve">• </t>
    </r>
    <r>
      <rPr>
        <b/>
        <sz val="14"/>
        <color theme="9"/>
        <rFont val="Calibri"/>
        <family val="2"/>
        <scheme val="minor"/>
      </rPr>
      <t>CO-PRODUCTION / TOURING</t>
    </r>
    <r>
      <rPr>
        <sz val="14"/>
        <color theme="1"/>
        <rFont val="Calibri"/>
        <family val="2"/>
        <scheme val="minor"/>
      </rPr>
      <t xml:space="preserve"> : Calculate the carbon footprint of  </t>
    </r>
    <r>
      <rPr>
        <b/>
        <sz val="14"/>
        <color theme="9"/>
        <rFont val="Calibri (Body)"/>
      </rPr>
      <t>TRAVEL and TRANSPORT</t>
    </r>
    <r>
      <rPr>
        <sz val="14"/>
        <color theme="1"/>
        <rFont val="Calibri"/>
        <family val="2"/>
        <scheme val="minor"/>
      </rPr>
      <t xml:space="preserve">, to help plan reductions. Use local resources where they support reductions. </t>
    </r>
  </si>
  <si>
    <r>
      <t xml:space="preserve">• </t>
    </r>
    <r>
      <rPr>
        <b/>
        <sz val="14"/>
        <color theme="9"/>
        <rFont val="Calibri"/>
        <family val="2"/>
        <scheme val="minor"/>
      </rPr>
      <t>REUSE AND RECYCLING</t>
    </r>
    <r>
      <rPr>
        <sz val="14"/>
        <color theme="1"/>
        <rFont val="Calibri"/>
        <family val="2"/>
        <scheme val="minor"/>
      </rPr>
      <t xml:space="preserve"> : Keep an inventory of materials: sets and scenery, props and furniture, costumes. </t>
    </r>
    <r>
      <rPr>
        <b/>
        <sz val="14"/>
        <color theme="9"/>
        <rFont val="Calibri (Body)"/>
      </rPr>
      <t>50%</t>
    </r>
    <r>
      <rPr>
        <sz val="14"/>
        <color theme="1"/>
        <rFont val="Calibri"/>
        <family val="2"/>
        <scheme val="minor"/>
      </rPr>
      <t xml:space="preserve"> of each category should have been used previously. </t>
    </r>
    <r>
      <rPr>
        <b/>
        <sz val="14"/>
        <color theme="9"/>
        <rFont val="Calibri (Body)"/>
      </rPr>
      <t>65%</t>
    </r>
    <r>
      <rPr>
        <sz val="14"/>
        <color theme="1"/>
        <rFont val="Calibri"/>
        <family val="2"/>
        <scheme val="minor"/>
      </rPr>
      <t xml:space="preserve"> should be used again after the show. </t>
    </r>
  </si>
  <si>
    <r>
      <t xml:space="preserve">• </t>
    </r>
    <r>
      <rPr>
        <b/>
        <sz val="14"/>
        <color theme="9"/>
        <rFont val="Calibri"/>
        <family val="2"/>
        <scheme val="minor"/>
      </rPr>
      <t>NEW MATERIALS</t>
    </r>
    <r>
      <rPr>
        <sz val="14"/>
        <color theme="1"/>
        <rFont val="Calibri"/>
        <family val="2"/>
        <scheme val="minor"/>
      </rPr>
      <t xml:space="preserve"> : Source all new materials sustainably</t>
    </r>
    <r>
      <rPr>
        <i/>
        <sz val="14"/>
        <color theme="1"/>
        <rFont val="Calibri"/>
        <family val="2"/>
        <scheme val="minor"/>
      </rPr>
      <t xml:space="preserve">. </t>
    </r>
    <r>
      <rPr>
        <sz val="14"/>
        <color theme="1"/>
        <rFont val="Calibri"/>
        <family val="2"/>
        <scheme val="minor"/>
      </rPr>
      <t>Avoid PVC, tropical hardwoods and polystyrene where possible.</t>
    </r>
  </si>
  <si>
    <r>
      <t xml:space="preserve">• </t>
    </r>
    <r>
      <rPr>
        <b/>
        <sz val="14"/>
        <color theme="9"/>
        <rFont val="Calibri"/>
        <family val="2"/>
        <scheme val="minor"/>
      </rPr>
      <t>NEW MATERIALS</t>
    </r>
    <r>
      <rPr>
        <sz val="14"/>
        <color theme="1"/>
        <rFont val="Calibri"/>
        <family val="2"/>
        <scheme val="minor"/>
      </rPr>
      <t xml:space="preserve"> : Source all new materials from accredited zero carbon sources</t>
    </r>
    <r>
      <rPr>
        <i/>
        <sz val="14"/>
        <color theme="1"/>
        <rFont val="Calibri"/>
        <family val="2"/>
        <scheme val="minor"/>
      </rPr>
      <t xml:space="preserve">. </t>
    </r>
    <r>
      <rPr>
        <sz val="14"/>
        <color theme="1"/>
        <rFont val="Calibri"/>
        <family val="2"/>
        <scheme val="minor"/>
      </rPr>
      <t>Completely avoid PVC, tropical hardwoods, polystyrene and harmful chemicals.</t>
    </r>
  </si>
  <si>
    <r>
      <t xml:space="preserve">• </t>
    </r>
    <r>
      <rPr>
        <b/>
        <sz val="14"/>
        <color theme="9"/>
        <rFont val="Calibri"/>
        <family val="2"/>
        <scheme val="minor"/>
      </rPr>
      <t>REUSE AND RECYCLING</t>
    </r>
    <r>
      <rPr>
        <sz val="14"/>
        <color theme="1"/>
        <rFont val="Calibri"/>
        <family val="2"/>
        <scheme val="minor"/>
      </rPr>
      <t xml:space="preserve"> : </t>
    </r>
    <r>
      <rPr>
        <b/>
        <sz val="14"/>
        <color theme="9"/>
        <rFont val="Calibri (Body)"/>
      </rPr>
      <t>75%</t>
    </r>
    <r>
      <rPr>
        <sz val="14"/>
        <color theme="1"/>
        <rFont val="Calibri"/>
        <family val="2"/>
        <scheme val="minor"/>
      </rPr>
      <t xml:space="preserve"> of materials should have been used previously. </t>
    </r>
    <r>
      <rPr>
        <b/>
        <sz val="14"/>
        <color theme="9"/>
        <rFont val="Calibri (Body)"/>
      </rPr>
      <t>80%</t>
    </r>
    <r>
      <rPr>
        <sz val="14"/>
        <color theme="1"/>
        <rFont val="Calibri"/>
        <family val="2"/>
        <scheme val="minor"/>
      </rPr>
      <t xml:space="preserve"> should be used again after the show. </t>
    </r>
    <r>
      <rPr>
        <sz val="14"/>
        <color theme="1"/>
        <rFont val="Calibri (Body)"/>
      </rPr>
      <t xml:space="preserve">Make sets for easy disassembly to support recycling. </t>
    </r>
  </si>
  <si>
    <r>
      <t xml:space="preserve">• </t>
    </r>
    <r>
      <rPr>
        <b/>
        <sz val="14"/>
        <color theme="9"/>
        <rFont val="Calibri"/>
        <family val="2"/>
        <scheme val="minor"/>
      </rPr>
      <t>REUSE AND RECYCLING</t>
    </r>
    <r>
      <rPr>
        <sz val="14"/>
        <color theme="1"/>
        <rFont val="Calibri"/>
        <family val="2"/>
        <scheme val="minor"/>
      </rPr>
      <t xml:space="preserve"> : Keep an inventory of materials: sets and scenery, props and furniture, costumes. </t>
    </r>
    <r>
      <rPr>
        <b/>
        <sz val="14"/>
        <color theme="9"/>
        <rFont val="Calibri (Body)"/>
      </rPr>
      <t>60%</t>
    </r>
    <r>
      <rPr>
        <sz val="14"/>
        <color theme="1"/>
        <rFont val="Calibri"/>
        <family val="2"/>
        <scheme val="minor"/>
      </rPr>
      <t xml:space="preserve"> of each category should have been used previously. </t>
    </r>
    <r>
      <rPr>
        <b/>
        <sz val="14"/>
        <color theme="9"/>
        <rFont val="Calibri (Body)"/>
      </rPr>
      <t>70%</t>
    </r>
    <r>
      <rPr>
        <sz val="14"/>
        <color theme="1"/>
        <rFont val="Calibri"/>
        <family val="2"/>
        <scheme val="minor"/>
      </rPr>
      <t xml:space="preserve"> should be used again after the show.</t>
    </r>
  </si>
  <si>
    <r>
      <t xml:space="preserve">• </t>
    </r>
    <r>
      <rPr>
        <b/>
        <sz val="14"/>
        <color theme="9"/>
        <rFont val="Calibri"/>
        <family val="2"/>
        <scheme val="minor"/>
      </rPr>
      <t>DELIVERIES</t>
    </r>
    <r>
      <rPr>
        <sz val="14"/>
        <color theme="1"/>
        <rFont val="Calibri"/>
        <family val="2"/>
        <scheme val="minor"/>
      </rPr>
      <t xml:space="preserve"> : Consolidate deliveries where possible. Avoid last-minute deliveries where possible. </t>
    </r>
  </si>
  <si>
    <r>
      <t xml:space="preserve">• </t>
    </r>
    <r>
      <rPr>
        <b/>
        <sz val="14"/>
        <color theme="9"/>
        <rFont val="Calibri"/>
        <family val="2"/>
        <scheme val="minor"/>
      </rPr>
      <t>DELIVERIES</t>
    </r>
    <r>
      <rPr>
        <sz val="14"/>
        <color theme="1"/>
        <rFont val="Calibri"/>
        <family val="2"/>
        <scheme val="minor"/>
      </rPr>
      <t xml:space="preserve"> :  Record deliveries related to the production. </t>
    </r>
  </si>
  <si>
    <r>
      <t xml:space="preserve">• </t>
    </r>
    <r>
      <rPr>
        <b/>
        <sz val="14"/>
        <color theme="9"/>
        <rFont val="Calibri"/>
        <family val="2"/>
        <scheme val="minor"/>
      </rPr>
      <t>DELIVERIES</t>
    </r>
    <r>
      <rPr>
        <sz val="14"/>
        <color theme="1"/>
        <rFont val="Calibri (Body)"/>
      </rPr>
      <t xml:space="preserve"> : Calculate the carbon footprint of deliveries, to help plan reductions. </t>
    </r>
  </si>
  <si>
    <t>Rehearsing and Running a Sustainable Production</t>
  </si>
  <si>
    <r>
      <t xml:space="preserve">• </t>
    </r>
    <r>
      <rPr>
        <b/>
        <sz val="14"/>
        <color theme="9"/>
        <rFont val="Calibri"/>
        <family val="2"/>
        <scheme val="minor"/>
      </rPr>
      <t>STAGE MANAGEMENT and CAST</t>
    </r>
    <r>
      <rPr>
        <sz val="14"/>
        <color theme="1"/>
        <rFont val="Calibri"/>
        <family val="2"/>
        <scheme val="minor"/>
      </rPr>
      <t xml:space="preserve"> : Make sure cast and stage management understand Baseline standard, and can contribute to achieving it. </t>
    </r>
  </si>
  <si>
    <r>
      <t xml:space="preserve">• </t>
    </r>
    <r>
      <rPr>
        <b/>
        <sz val="14"/>
        <color theme="9"/>
        <rFont val="Calibri"/>
        <family val="2"/>
        <scheme val="minor"/>
      </rPr>
      <t>STAGE MANAGEMENT and CAST</t>
    </r>
    <r>
      <rPr>
        <sz val="14"/>
        <color theme="1"/>
        <rFont val="Calibri"/>
        <family val="2"/>
        <scheme val="minor"/>
      </rPr>
      <t xml:space="preserve"> : Use the Toolkit to make a Sustainability Plan for the rehearsal / production period and run.</t>
    </r>
  </si>
  <si>
    <r>
      <t xml:space="preserve">• </t>
    </r>
    <r>
      <rPr>
        <b/>
        <sz val="14"/>
        <color theme="9"/>
        <rFont val="Calibri"/>
        <family val="2"/>
        <scheme val="minor"/>
      </rPr>
      <t>STAGE MANAGEMENT and CAST</t>
    </r>
    <r>
      <rPr>
        <sz val="14"/>
        <color theme="1"/>
        <rFont val="Calibri"/>
        <family val="2"/>
        <scheme val="minor"/>
      </rPr>
      <t xml:space="preserve"> : Fully implement a Sustainability Plan for the rehearsal / production period and run.</t>
    </r>
  </si>
  <si>
    <r>
      <t xml:space="preserve">• </t>
    </r>
    <r>
      <rPr>
        <b/>
        <sz val="14"/>
        <color theme="9"/>
        <rFont val="Calibri"/>
        <family val="2"/>
        <scheme val="minor"/>
      </rPr>
      <t>WARDROBE, WIGS, HAIR, MAKEUP</t>
    </r>
    <r>
      <rPr>
        <sz val="14"/>
        <color theme="1"/>
        <rFont val="Calibri"/>
        <family val="2"/>
        <scheme val="minor"/>
      </rPr>
      <t xml:space="preserve"> : Avoid harmful chemicals where possible.</t>
    </r>
  </si>
  <si>
    <r>
      <t xml:space="preserve">• </t>
    </r>
    <r>
      <rPr>
        <b/>
        <sz val="14"/>
        <color theme="9"/>
        <rFont val="Calibri"/>
        <family val="2"/>
        <scheme val="minor"/>
      </rPr>
      <t>WARDROBE, WIGS, HAIR, MAKEUP</t>
    </r>
    <r>
      <rPr>
        <sz val="14"/>
        <color theme="1"/>
        <rFont val="Calibri"/>
        <family val="2"/>
        <scheme val="minor"/>
      </rPr>
      <t xml:space="preserve"> : Source sustainable products where possible. Minimise laundry cleaning temperatures. Avoid dry cleaning where possible.</t>
    </r>
  </si>
  <si>
    <r>
      <t xml:space="preserve">• </t>
    </r>
    <r>
      <rPr>
        <b/>
        <sz val="14"/>
        <color theme="9"/>
        <rFont val="Calibri"/>
        <family val="2"/>
        <scheme val="minor"/>
      </rPr>
      <t>WARDROBE, WIGS, HAIR, MAKEUP</t>
    </r>
    <r>
      <rPr>
        <sz val="14"/>
        <color theme="1"/>
        <rFont val="Calibri"/>
        <family val="2"/>
        <scheme val="minor"/>
      </rPr>
      <t xml:space="preserve"> : Completely avoid harmful chemicals and materials. </t>
    </r>
  </si>
  <si>
    <r>
      <t xml:space="preserve">• </t>
    </r>
    <r>
      <rPr>
        <b/>
        <sz val="14"/>
        <color theme="9"/>
        <rFont val="Calibri"/>
        <family val="2"/>
        <scheme val="minor"/>
      </rPr>
      <t>CO-PRODUCTION / TOURING</t>
    </r>
    <r>
      <rPr>
        <sz val="14"/>
        <color theme="1"/>
        <rFont val="Calibri"/>
        <family val="2"/>
        <scheme val="minor"/>
      </rPr>
      <t xml:space="preserve"> : Use sustainable transport methods where possible. Choose accommodation within walking distance of venues.</t>
    </r>
  </si>
  <si>
    <r>
      <t xml:space="preserve">• </t>
    </r>
    <r>
      <rPr>
        <b/>
        <sz val="14"/>
        <color theme="9"/>
        <rFont val="Calibri"/>
        <family val="2"/>
        <scheme val="minor"/>
      </rPr>
      <t>CO-PRODUCTION / TOURING</t>
    </r>
    <r>
      <rPr>
        <sz val="14"/>
        <color theme="1"/>
        <rFont val="Calibri (Body)"/>
      </rPr>
      <t xml:space="preserve"> : Record travel distance and transport methods. </t>
    </r>
    <r>
      <rPr>
        <sz val="14"/>
        <color theme="1"/>
        <rFont val="Calibri"/>
        <family val="2"/>
        <scheme val="minor"/>
      </rPr>
      <t>Choose accommodation with green accreditation.</t>
    </r>
  </si>
  <si>
    <r>
      <t xml:space="preserve">• </t>
    </r>
    <r>
      <rPr>
        <b/>
        <sz val="14"/>
        <color theme="9"/>
        <rFont val="Calibri"/>
        <family val="2"/>
        <scheme val="minor"/>
      </rPr>
      <t>CO-PRODUCTION / TOURING</t>
    </r>
    <r>
      <rPr>
        <sz val="14"/>
        <color theme="1"/>
        <rFont val="Calibri"/>
        <family val="2"/>
        <scheme val="minor"/>
      </rPr>
      <t xml:space="preserve"> : </t>
    </r>
    <r>
      <rPr>
        <sz val="14"/>
        <color theme="1"/>
        <rFont val="Calibri (Body)"/>
      </rPr>
      <t>Calculate the carbon footprint of tours, to help minimise and offset  impacts. Publish results and highlight blockers to sustainability.</t>
    </r>
  </si>
  <si>
    <r>
      <t xml:space="preserve">• </t>
    </r>
    <r>
      <rPr>
        <b/>
        <sz val="14"/>
        <color theme="9"/>
        <rFont val="Calibri"/>
        <family val="2"/>
        <scheme val="minor"/>
      </rPr>
      <t>CO-PRODUCTION / TOURING</t>
    </r>
    <r>
      <rPr>
        <sz val="14"/>
        <color theme="1"/>
        <rFont val="Calibri"/>
        <family val="2"/>
        <scheme val="minor"/>
      </rPr>
      <t xml:space="preserve"> : Agree a Green Contract Rider with receiving venues (see Toolkit), including resources available. Review sustainable haulage options.</t>
    </r>
  </si>
  <si>
    <r>
      <t xml:space="preserve">• </t>
    </r>
    <r>
      <rPr>
        <b/>
        <sz val="14"/>
        <color theme="9"/>
        <rFont val="Calibri"/>
        <family val="2"/>
        <scheme val="minor"/>
      </rPr>
      <t>CO-PRODUCTION / TOURING</t>
    </r>
    <r>
      <rPr>
        <sz val="14"/>
        <color theme="1"/>
        <rFont val="Calibri"/>
        <family val="2"/>
        <scheme val="minor"/>
      </rPr>
      <t xml:space="preserve"> : Minimise business travel. Record all journeys. Technical design to use local resources where possible.</t>
    </r>
  </si>
  <si>
    <r>
      <t xml:space="preserve">• </t>
    </r>
    <r>
      <rPr>
        <b/>
        <sz val="14"/>
        <color theme="9"/>
        <rFont val="Calibri"/>
        <family val="2"/>
        <scheme val="minor"/>
      </rPr>
      <t>CO-PRODUCTION / TOURING</t>
    </r>
    <r>
      <rPr>
        <sz val="14"/>
        <color theme="1"/>
        <rFont val="Calibri"/>
        <family val="2"/>
        <scheme val="minor"/>
      </rPr>
      <t xml:space="preserve"> : Consider haulage limitations when designing (or when redesigning for a tour). Ensure technical specifications are agreed with all receiving venues.</t>
    </r>
  </si>
  <si>
    <r>
      <t xml:space="preserve">• </t>
    </r>
    <r>
      <rPr>
        <b/>
        <sz val="14"/>
        <color theme="9"/>
        <rFont val="Calibri"/>
        <family val="2"/>
        <scheme val="minor"/>
      </rPr>
      <t>CONCEPT</t>
    </r>
    <r>
      <rPr>
        <sz val="14"/>
        <color theme="1"/>
        <rFont val="Calibri"/>
        <family val="2"/>
        <scheme val="minor"/>
      </rPr>
      <t xml:space="preserve"> : Hold an early concept meeting to collaboratively sense-check ideas. At </t>
    </r>
    <r>
      <rPr>
        <b/>
        <sz val="14"/>
        <color theme="9"/>
        <rFont val="Calibri"/>
        <family val="2"/>
        <scheme val="minor"/>
      </rPr>
      <t>DEVELOPMENT</t>
    </r>
    <r>
      <rPr>
        <sz val="14"/>
        <color theme="1"/>
        <rFont val="Calibri"/>
        <family val="2"/>
        <scheme val="minor"/>
      </rPr>
      <t xml:space="preserve"> stage, collaborate with the whole team to achieve a sustainable outcome.</t>
    </r>
  </si>
  <si>
    <t>Example</t>
  </si>
  <si>
    <t>'REUSED' MEANS A WHOLE ELEMENT IS USED AGAIN WITH MINOR MODIFICATIONS (eg a stair, floor or flat)</t>
  </si>
  <si>
    <t>'RECYCLED' MEANS ITS MATERIALS ARE SALVAGED AND USED FOR SOMETHING ELSE</t>
  </si>
  <si>
    <t>Made with RECYCLED MATERIALS</t>
  </si>
  <si>
    <t xml:space="preserve">Made with 'sustainable' NEW MATERIALS </t>
  </si>
  <si>
    <t>Made with unsustainable NEW MATERIALS</t>
  </si>
  <si>
    <t>'SUSTAINABLE' NEW MATERIALS MEANS CERTIFIED SUSTAINABLE (eg genuine FSC timber)</t>
  </si>
  <si>
    <t>REUSED element with minor modifications</t>
  </si>
  <si>
    <t>REUSED with major modifications</t>
  </si>
  <si>
    <t>Disposed as general waste</t>
  </si>
  <si>
    <t>Disposed in waste recycling stream</t>
  </si>
  <si>
    <t>2) Estimate the weight of the frame (using the tables) and score as 1 or 2.</t>
  </si>
  <si>
    <t>4) Estimate the weight of the light fittings (using the props tables) and score as 1.</t>
  </si>
  <si>
    <t>3) Calculate the weight of  the plywood (using the tables) and score as 4 or 5.</t>
  </si>
  <si>
    <t>A composite suspended element with a sculptural form achieved with reused steel frame, new plywood cladding, and light fittings from store.</t>
  </si>
  <si>
    <t>1) Break into separate lines for frame, cladding and lights.</t>
  </si>
  <si>
    <t>If some of the plywood will be reused and the rest disposed of, break the plywood line into two lines, scoring one as 3 and the other as 4 or 5.</t>
  </si>
  <si>
    <t>DON'T INCLUDE SMALL ITEMS LIKE SCREWS, ADHESIVES, TAPE OR PAINT. ESTIMATE WEIGHTS, IF NECESSARY.        BREAK DOWN COMPOSITE ITEMS INTO SEVERAL LINES, IF NECESSARY (see Example).</t>
  </si>
  <si>
    <t>REUSED element with only minor modifications</t>
  </si>
  <si>
    <t>New purchase or manufacture made from 'sustainable' NEW MATERIALS</t>
  </si>
  <si>
    <t>New purchase or manufacture made from unsustainable NEW MATERIALS</t>
  </si>
  <si>
    <t>Sold or given away for REUSE</t>
  </si>
  <si>
    <t>Stored for REUSE</t>
  </si>
  <si>
    <t>Materials salvaged for RECYCLING</t>
  </si>
  <si>
    <t>Props / furniture REUSED from stock</t>
  </si>
  <si>
    <t>REUSED props / furniture bought second-hand</t>
  </si>
  <si>
    <t>Props / furniture modified/adapted or made from RECYCLED materials</t>
  </si>
  <si>
    <t>How to use the Calculator</t>
  </si>
  <si>
    <t>2) Don't be too detailed. Estimate weight if you need to. Don't worry about small things like screws, glue or tape.</t>
  </si>
  <si>
    <t xml:space="preserve">(1) is very sustainable. (5) is very unsustainable. </t>
  </si>
  <si>
    <t>(1) - (3) are reused / recycled. (4) and (5) are not.</t>
  </si>
  <si>
    <t>REPORT</t>
  </si>
  <si>
    <t>• This worksheet is a simple Travel Calculator for deliveries and touring productions.</t>
  </si>
  <si>
    <t>• Use it for Interim and Advanced productions.</t>
  </si>
  <si>
    <t>1) Record deliveries related to the production.</t>
  </si>
  <si>
    <t>2) Record travel related to a tour.</t>
  </si>
  <si>
    <t>• These worksheets are Estimators to help you quickly assess design options.</t>
  </si>
  <si>
    <t xml:space="preserve">DON'T GET LOST IN TOO MUCH DETAIL. </t>
  </si>
  <si>
    <t>Scenery - Costume - Props &amp; furniture</t>
  </si>
  <si>
    <t>Travel</t>
  </si>
  <si>
    <t>• These worksheets help you quickly calculate what percentage of scenery, costumes and props is reused and recycled, and calculate carbon for new materials.</t>
  </si>
  <si>
    <r>
      <t xml:space="preserve">4) </t>
    </r>
    <r>
      <rPr>
        <b/>
        <sz val="14"/>
        <color theme="1"/>
        <rFont val="Calibri"/>
        <family val="2"/>
        <scheme val="minor"/>
      </rPr>
      <t>SCORE</t>
    </r>
    <r>
      <rPr>
        <sz val="14"/>
        <color theme="1"/>
        <rFont val="Calibri"/>
        <family val="2"/>
        <scheme val="minor"/>
      </rPr>
      <t xml:space="preserve"> its planned 'Destination' after the production, (1) to (5).</t>
    </r>
  </si>
  <si>
    <r>
      <t xml:space="preserve">3) </t>
    </r>
    <r>
      <rPr>
        <b/>
        <sz val="14"/>
        <color theme="1"/>
        <rFont val="Calibri"/>
        <family val="2"/>
        <scheme val="minor"/>
      </rPr>
      <t>SCORE</t>
    </r>
    <r>
      <rPr>
        <sz val="14"/>
        <color theme="1"/>
        <rFont val="Calibri"/>
        <family val="2"/>
        <scheme val="minor"/>
      </rPr>
      <t xml:space="preserve"> where each item comes from (its 'Source'), (1) to (5), copying cells from the list at the top of each sheet.</t>
    </r>
  </si>
  <si>
    <t>1) Percentages of Reuse and Recycling appear automatically. Carbon impacts appear automatically.</t>
  </si>
  <si>
    <t>Note</t>
  </si>
  <si>
    <r>
      <t xml:space="preserve">1) Under each heading, </t>
    </r>
    <r>
      <rPr>
        <b/>
        <sz val="14"/>
        <color theme="1"/>
        <rFont val="Calibri"/>
        <family val="2"/>
        <scheme val="minor"/>
      </rPr>
      <t>RECORD</t>
    </r>
    <r>
      <rPr>
        <sz val="14"/>
        <color theme="1"/>
        <rFont val="Calibri"/>
        <family val="2"/>
        <scheme val="minor"/>
      </rPr>
      <t xml:space="preserve"> every element or material by weight (kg). There are weight tables to help you.</t>
    </r>
  </si>
  <si>
    <t>2) Use this report sheet to list KEY DECISIONS taken to make the production more sustainable.</t>
  </si>
  <si>
    <t>3) Use this report sheet to list LESSONS LEARNED for future productions.</t>
  </si>
  <si>
    <t>Element REUSED or matertials RECYCLED immediately</t>
  </si>
  <si>
    <t>Element /  materials sent to store for intended REUSE or RECYCLING</t>
  </si>
  <si>
    <t>Element / materials sold to be REUSED or RECYCLED by others</t>
  </si>
  <si>
    <t>Carbon</t>
  </si>
  <si>
    <t>Production Sustainability Report</t>
  </si>
  <si>
    <t>Report by</t>
  </si>
  <si>
    <t>Main decisions taken</t>
  </si>
  <si>
    <t>This table fills in automatically</t>
  </si>
  <si>
    <t>Scenery (EST) - Costume (EST) - Props &amp; furniture (EST)</t>
  </si>
  <si>
    <t>• It encourages you to record decisions made and lessons learned.</t>
  </si>
  <si>
    <t>• This worksheet provides a summary of what you've achieved, that shows which standard you've reached.</t>
  </si>
  <si>
    <t>THE PRODUCTION CALCULATOR IS NOT A PERFECT SYSTEM BUT A TOOL TO HELP YOU THINK MORE SUSTAINABLY, AND RECORD HOW YOUR PRACTICE IS CHANGING.</t>
  </si>
  <si>
    <t>Lessons learned</t>
  </si>
  <si>
    <t>standard achieved?</t>
  </si>
  <si>
    <t>Done? √, NO or N/A</t>
  </si>
  <si>
    <r>
      <t xml:space="preserve">• </t>
    </r>
    <r>
      <rPr>
        <b/>
        <sz val="14"/>
        <color theme="9"/>
        <rFont val="Calibri"/>
        <family val="2"/>
        <scheme val="minor"/>
      </rPr>
      <t>REUSE AND RECYCLING</t>
    </r>
    <r>
      <rPr>
        <sz val="14"/>
        <color theme="9"/>
        <rFont val="Calibri"/>
        <family val="2"/>
        <scheme val="minor"/>
      </rPr>
      <t xml:space="preserve"> </t>
    </r>
    <r>
      <rPr>
        <sz val="14"/>
        <color theme="1"/>
        <rFont val="Calibri"/>
        <family val="2"/>
        <scheme val="minor"/>
      </rPr>
      <t xml:space="preserve">: Check you've achieved the target of </t>
    </r>
    <r>
      <rPr>
        <b/>
        <sz val="14"/>
        <color theme="9"/>
        <rFont val="Calibri (Body)"/>
      </rPr>
      <t>70%</t>
    </r>
    <r>
      <rPr>
        <sz val="14"/>
        <color theme="1"/>
        <rFont val="Calibri"/>
        <family val="2"/>
        <scheme val="minor"/>
      </rPr>
      <t xml:space="preserve"> reused / recycled for sustainable disposal.</t>
    </r>
  </si>
  <si>
    <r>
      <t xml:space="preserve">• </t>
    </r>
    <r>
      <rPr>
        <b/>
        <sz val="14"/>
        <color theme="9"/>
        <rFont val="Calibri"/>
        <family val="2"/>
        <scheme val="minor"/>
      </rPr>
      <t>REUSE AND RECYCLING</t>
    </r>
    <r>
      <rPr>
        <sz val="14"/>
        <color theme="9"/>
        <rFont val="Calibri"/>
        <family val="2"/>
        <scheme val="minor"/>
      </rPr>
      <t xml:space="preserve"> </t>
    </r>
    <r>
      <rPr>
        <sz val="14"/>
        <color theme="1"/>
        <rFont val="Calibri"/>
        <family val="2"/>
        <scheme val="minor"/>
      </rPr>
      <t xml:space="preserve">:  Check you've achieved the target of </t>
    </r>
    <r>
      <rPr>
        <sz val="14"/>
        <color theme="9"/>
        <rFont val="Calibri (Body)"/>
      </rPr>
      <t>8</t>
    </r>
    <r>
      <rPr>
        <b/>
        <sz val="14"/>
        <color theme="9"/>
        <rFont val="Calibri (Body)"/>
      </rPr>
      <t>0%</t>
    </r>
    <r>
      <rPr>
        <sz val="14"/>
        <color theme="1"/>
        <rFont val="Calibri"/>
        <family val="2"/>
        <scheme val="minor"/>
      </rPr>
      <t xml:space="preserve"> reused / recycled for sustainable disposal. Ensure any residual waste is sustainably disposed of.</t>
    </r>
  </si>
  <si>
    <t>NOTE : Dance and ballet shows need not achieve the targets for costumes.</t>
  </si>
  <si>
    <t>Basic Standard</t>
  </si>
  <si>
    <t>BASIC, INTERMEDIATE, or ADVANCED</t>
  </si>
  <si>
    <t>BASIC - INTERMEDIATE - ADVANCED</t>
  </si>
  <si>
    <t>• These worksheets give you the standards for Basic, Intermediate or Advanced productions.</t>
  </si>
  <si>
    <t>• To meet the standards you need to reuse and recycle more of your sets and scenery, costumes, and props &amp; furniture. e.g. for Basic, 50% of each needs to be reused or recycled.</t>
  </si>
  <si>
    <r>
      <t xml:space="preserve">• </t>
    </r>
    <r>
      <rPr>
        <b/>
        <sz val="14"/>
        <color theme="9"/>
        <rFont val="Calibri"/>
        <family val="2"/>
        <scheme val="minor"/>
      </rPr>
      <t>PRODUCING</t>
    </r>
    <r>
      <rPr>
        <sz val="14"/>
        <color theme="1"/>
        <rFont val="Calibri"/>
        <family val="2"/>
        <scheme val="minor"/>
      </rPr>
      <t xml:space="preserve"> : Appoint the team early. Make sure Basic standard is understood. Set a longer programme if possible. Set the budget to spend more on people's time and less on materials. </t>
    </r>
  </si>
  <si>
    <t>Basic target</t>
  </si>
  <si>
    <t>Steeldeck</t>
  </si>
  <si>
    <t>https://www.steeldeck.co.uk/wp-content/uploads/2023/05/STEELDECK_PRODUCTS.pdf</t>
  </si>
  <si>
    <t>Wooden domestic stair, one storey</t>
  </si>
  <si>
    <t>To achieve Basic standard, √ all the coloured boxes and as many of the others as possible</t>
  </si>
  <si>
    <r>
      <t xml:space="preserve">• </t>
    </r>
    <r>
      <rPr>
        <b/>
        <sz val="14"/>
        <color theme="9"/>
        <rFont val="Calibri"/>
        <family val="2"/>
        <scheme val="minor"/>
      </rPr>
      <t>CO-PRODUCTION / TOURING</t>
    </r>
    <r>
      <rPr>
        <sz val="14"/>
        <color theme="1"/>
        <rFont val="Calibri"/>
        <family val="2"/>
        <scheme val="minor"/>
      </rPr>
      <t xml:space="preserve"> : Agree how expertise and resources will be shared. Identify responsibilities for measuring, recording, and sustainable disposal. Establish a haulage limit (e.g. 'one trailer' or 'one transit van'). Reference Basic standard in Co-production agreements. </t>
    </r>
  </si>
  <si>
    <t xml:space="preserve">With thanks to the Deutsche Theatertechnische Gesellschaft for funding Creative Carbon Scotland's work in integrating carbon calculation into this tool. </t>
  </si>
  <si>
    <t>The carbon calculations in the tool were developed by Creative Carbon Scotland.</t>
  </si>
  <si>
    <t>Select your unit for travel:</t>
  </si>
  <si>
    <t>Kilometres</t>
  </si>
  <si>
    <t>Summary and graphs over here</t>
  </si>
  <si>
    <t>Description</t>
  </si>
  <si>
    <t>Country of majority of travel</t>
  </si>
  <si>
    <t>Number of times journey is made</t>
  </si>
  <si>
    <t>Mode of transport</t>
  </si>
  <si>
    <t>Carbon factor</t>
  </si>
  <si>
    <t>Emissions (kgCO2e)</t>
  </si>
  <si>
    <t>Tips for filling out the calculator</t>
  </si>
  <si>
    <t>Summary of touring</t>
  </si>
  <si>
    <t>Select country</t>
  </si>
  <si>
    <t>Select mode of transport</t>
  </si>
  <si>
    <t>Select your prefered units of travel (kilometres or miles) in I2. This will then be applied to all rows in both tables.</t>
  </si>
  <si>
    <t>Total emissions (kgCO2e)</t>
  </si>
  <si>
    <t>Bicycle</t>
  </si>
  <si>
    <t xml:space="preserve">Required data for calculations is Country, Distance, and Mode of transport. </t>
  </si>
  <si>
    <t>Bus</t>
  </si>
  <si>
    <t>Car</t>
  </si>
  <si>
    <t>Adding number of times journey is made will allow you to account for multiple people travelling or the trip being made multiple times.</t>
  </si>
  <si>
    <t>Coach</t>
  </si>
  <si>
    <t>Plane</t>
  </si>
  <si>
    <t>Date and description are for your reference only.</t>
  </si>
  <si>
    <t>Ferry</t>
  </si>
  <si>
    <t>Motorbike</t>
  </si>
  <si>
    <t>Taxi</t>
  </si>
  <si>
    <t>Train</t>
  </si>
  <si>
    <t>Emission values are estimates based on the most up to date emission factors provided by national governments and are rounded to the nearest whole number.</t>
  </si>
  <si>
    <t>Van</t>
  </si>
  <si>
    <t>Deliveries and transporting goods</t>
  </si>
  <si>
    <t>Approx. weight of goods (kg)</t>
  </si>
  <si>
    <t>Summary of deliveries and transporting goods</t>
  </si>
  <si>
    <t>Average van</t>
  </si>
  <si>
    <t>Required data for calculations is Distance and Mode of transport. Inclusion of the weight of goods will provide a more accurate estimate.</t>
  </si>
  <si>
    <t>Van - diesel</t>
  </si>
  <si>
    <t>Van - petrol</t>
  </si>
  <si>
    <t>Van - electric</t>
  </si>
  <si>
    <t>HGV</t>
  </si>
  <si>
    <t>Frieght flight</t>
  </si>
  <si>
    <t>Cargo ship</t>
  </si>
  <si>
    <t>Country</t>
  </si>
  <si>
    <t>Emission factor</t>
  </si>
  <si>
    <t>Unit</t>
  </si>
  <si>
    <t>Fuel</t>
  </si>
  <si>
    <t>Category</t>
  </si>
  <si>
    <t>Specific</t>
  </si>
  <si>
    <t>Emission source</t>
  </si>
  <si>
    <t>Category 2</t>
  </si>
  <si>
    <t>Concat</t>
  </si>
  <si>
    <t>Year</t>
  </si>
  <si>
    <t>Factor</t>
  </si>
  <si>
    <t>unit</t>
  </si>
  <si>
    <t>Sub-category</t>
  </si>
  <si>
    <t>Value</t>
  </si>
  <si>
    <t>Units</t>
  </si>
  <si>
    <t>MDF</t>
  </si>
  <si>
    <t>kgCO2e/kg</t>
  </si>
  <si>
    <t>ICE DB  V3.0 - world average data (2019)</t>
  </si>
  <si>
    <t>Costumes (new)</t>
  </si>
  <si>
    <t>Diesel (litres)</t>
  </si>
  <si>
    <t>litre</t>
  </si>
  <si>
    <t>Albania</t>
  </si>
  <si>
    <t>Train - Average passenger train</t>
  </si>
  <si>
    <t>kgCO2e/passenger km</t>
  </si>
  <si>
    <t>ADEME</t>
  </si>
  <si>
    <t>Average of all the ADEME European train values</t>
  </si>
  <si>
    <t>-</t>
  </si>
  <si>
    <t>Birch plywood</t>
  </si>
  <si>
    <t>https://ig-tools.com/resources</t>
  </si>
  <si>
    <t>Costumes (reused)</t>
  </si>
  <si>
    <t>Petrol (litres)</t>
  </si>
  <si>
    <t>Standard</t>
  </si>
  <si>
    <t>Bicycle - Standard</t>
  </si>
  <si>
    <t>Andorra</t>
  </si>
  <si>
    <t>per kilogram per km</t>
  </si>
  <si>
    <t>UK gov</t>
  </si>
  <si>
    <t>per km</t>
  </si>
  <si>
    <t>WISA plywood</t>
  </si>
  <si>
    <t>https://www.wisaplywood.com/siteassets/documents/certificates/rts-epd-19-19_upm_plywood_wisa_birch__uncoated_signed.pdf</t>
  </si>
  <si>
    <t>LPG (litres)</t>
  </si>
  <si>
    <t>Electric</t>
  </si>
  <si>
    <t>Bicycle - Electric</t>
  </si>
  <si>
    <t>Austria</t>
  </si>
  <si>
    <t>Softwood plywood</t>
  </si>
  <si>
    <t>https://www.openco2.net/en/emission-factors/product/plywood-softwood/255</t>
  </si>
  <si>
    <t>Fuel oil (litres)</t>
  </si>
  <si>
    <t>Average local bus</t>
  </si>
  <si>
    <t>Bus - Average local bus</t>
  </si>
  <si>
    <t>Belarus</t>
  </si>
  <si>
    <t>European softwood</t>
  </si>
  <si>
    <t>ICE DB  V3.0 - world average data (2019) adjusted for less distance traveled using ARUP Embodied Carbon (2023)</t>
  </si>
  <si>
    <t>Gas oil (litres)</t>
  </si>
  <si>
    <t>Average</t>
  </si>
  <si>
    <t>Car - Average</t>
  </si>
  <si>
    <t>Belgium</t>
  </si>
  <si>
    <t>www.co2emissiefactoren.be</t>
  </si>
  <si>
    <t>Biomass (kgs)</t>
  </si>
  <si>
    <t>Petrol</t>
  </si>
  <si>
    <t>Car - Petrol</t>
  </si>
  <si>
    <t>Bosnia and Herzegovina</t>
  </si>
  <si>
    <t>European hardwood</t>
  </si>
  <si>
    <t>Diesel</t>
  </si>
  <si>
    <t>Car - Diesel</t>
  </si>
  <si>
    <t>Bulgaria</t>
  </si>
  <si>
    <t>Please provide weight</t>
  </si>
  <si>
    <t>Hybrid</t>
  </si>
  <si>
    <t>Car - Hybrid</t>
  </si>
  <si>
    <t>Croatia</t>
  </si>
  <si>
    <t>Boat</t>
  </si>
  <si>
    <t>Steel</t>
  </si>
  <si>
    <t>Car - Electric</t>
  </si>
  <si>
    <t>Czechia</t>
  </si>
  <si>
    <t>Aluminium</t>
  </si>
  <si>
    <t>ICE DB  V3.0 - European consumption (2019)</t>
  </si>
  <si>
    <t>Denmark</t>
  </si>
  <si>
    <t>Plastics</t>
  </si>
  <si>
    <t>UK Government 2023 - Average plastic</t>
  </si>
  <si>
    <t>Short-haul - Economy</t>
  </si>
  <si>
    <t>Plane - Short-haul - Economy</t>
  </si>
  <si>
    <t>Estonia</t>
  </si>
  <si>
    <t>Polystyrene</t>
  </si>
  <si>
    <t>UK Government 2023 - Polystyrene</t>
  </si>
  <si>
    <t>Short-haul - Business class</t>
  </si>
  <si>
    <t>Plane - Short-haul - Business class</t>
  </si>
  <si>
    <t>Finland</t>
  </si>
  <si>
    <t>Twinwall</t>
  </si>
  <si>
    <t>UK Government 2023 - Average plastic rigid</t>
  </si>
  <si>
    <t>Long-haul - Economy</t>
  </si>
  <si>
    <t>Plane - Long-haul - Economy</t>
  </si>
  <si>
    <t>France</t>
  </si>
  <si>
    <t>Clear polycarb</t>
  </si>
  <si>
    <t>Long-haul - Premium economy</t>
  </si>
  <si>
    <t>Plane - Long-haul - Premium economy</t>
  </si>
  <si>
    <t>Train - Light rail/Tram</t>
  </si>
  <si>
    <t>Germany</t>
  </si>
  <si>
    <t>Diabond</t>
  </si>
  <si>
    <t>Long-haul - Business class</t>
  </si>
  <si>
    <t>Plane - Long-haul - Business class</t>
  </si>
  <si>
    <t>UBA</t>
  </si>
  <si>
    <t>Greece</t>
  </si>
  <si>
    <t>Poly Molding</t>
  </si>
  <si>
    <t>ICE DB  V3.0 - world average data (2011)</t>
  </si>
  <si>
    <t>Long-haul - First class</t>
  </si>
  <si>
    <t>Plane - Long-haul - First class</t>
  </si>
  <si>
    <t>Hungary</t>
  </si>
  <si>
    <t>Yellow soft foam</t>
  </si>
  <si>
    <t>Foot passenger</t>
  </si>
  <si>
    <t>Ferry - Foot passenger</t>
  </si>
  <si>
    <t>Iceland</t>
  </si>
  <si>
    <t>Aluminium General, European Mix, Inc Imports</t>
  </si>
  <si>
    <t>Car passenger</t>
  </si>
  <si>
    <t>Ferry - Car passenger</t>
  </si>
  <si>
    <t>Ireland</t>
  </si>
  <si>
    <t>Aluminium, produced in Europe</t>
  </si>
  <si>
    <t>Italy</t>
  </si>
  <si>
    <t>Aluminium General, Worldwide</t>
  </si>
  <si>
    <t>Latvia</t>
  </si>
  <si>
    <t>Average passenger train</t>
  </si>
  <si>
    <t>Liechtenstein</t>
  </si>
  <si>
    <t>Light rail/Tram</t>
  </si>
  <si>
    <t>Lithuania</t>
  </si>
  <si>
    <t>Underground/Metro</t>
  </si>
  <si>
    <t>Train - Underground/Metro</t>
  </si>
  <si>
    <t>Luxembourg</t>
  </si>
  <si>
    <t>Van - Average</t>
  </si>
  <si>
    <t>Malta</t>
  </si>
  <si>
    <t>Van - Petrol</t>
  </si>
  <si>
    <t>Moldova</t>
  </si>
  <si>
    <t>Van - Diesel</t>
  </si>
  <si>
    <t>Monaco</t>
  </si>
  <si>
    <t>Van - Electric</t>
  </si>
  <si>
    <t>Montenegro</t>
  </si>
  <si>
    <t>Netherlands</t>
  </si>
  <si>
    <t>https://www.co2emissiefactoren.nl/lijst-emissiefactoren/</t>
  </si>
  <si>
    <t>North Macedonia</t>
  </si>
  <si>
    <t>Norway</t>
  </si>
  <si>
    <t>Poland</t>
  </si>
  <si>
    <t>Portugal</t>
  </si>
  <si>
    <t>Romania</t>
  </si>
  <si>
    <t>San Marino</t>
  </si>
  <si>
    <t>Serbia</t>
  </si>
  <si>
    <t>Slovakia</t>
  </si>
  <si>
    <t>Slovenia</t>
  </si>
  <si>
    <t>Spain</t>
  </si>
  <si>
    <t>Sweden</t>
  </si>
  <si>
    <t>Switzerland</t>
  </si>
  <si>
    <t>Ukraine</t>
  </si>
  <si>
    <t>United Kingdom</t>
  </si>
  <si>
    <t>kgCO2e/pasenger-km</t>
  </si>
  <si>
    <t>French factor (based on electricity emissions)</t>
  </si>
  <si>
    <t>UK factor (based on electricity emissions)</t>
  </si>
  <si>
    <t>NA</t>
  </si>
  <si>
    <t>UK factor</t>
  </si>
  <si>
    <t>https://www.umweltbundesamt.at/fileadmin/site/themen/mobilitaet/daten/ekz_pkm_tkm_verkehrsmittel.pdf</t>
  </si>
  <si>
    <t>kgCO2e/km</t>
  </si>
  <si>
    <t>Cyprus</t>
  </si>
  <si>
    <t>EU-27</t>
  </si>
  <si>
    <t>Additional information</t>
  </si>
  <si>
    <t>For Business travel (which often relates to more than one production) see Sustainable Operations.</t>
  </si>
  <si>
    <t>To add additional rows to the tables, please unlock the sheet using the password 'TGB'. When doing this, be careful to not delete any formula and to copy the formula in columns J and K to any new rows.</t>
  </si>
  <si>
    <t>Aluminium location-based emissions</t>
  </si>
  <si>
    <t>carbon factors (kgCO2e/kg)</t>
  </si>
  <si>
    <t>Aluminium General, European, Inc Imports</t>
  </si>
  <si>
    <t>kgCO2e</t>
  </si>
  <si>
    <t>You can calculate emissions for plastic, metal, and wood.
Only do these calculations for new materials (4 or 5).</t>
  </si>
  <si>
    <t>Copy the appropriate carbon factor for each material from below and paste it into the relevant row in column S.
Emission values (kgCO2e) will then be calculated automatically based on the emission factor and the weight of material.</t>
  </si>
  <si>
    <t>New costumes only</t>
  </si>
  <si>
    <t>Emissions will automatically calculate for new costumes only. These emissions will be based on the weight.</t>
  </si>
  <si>
    <t>New clothing</t>
  </si>
  <si>
    <t>value</t>
  </si>
  <si>
    <t>year</t>
  </si>
  <si>
    <t>source</t>
  </si>
  <si>
    <t>If you need to unlock the cells to add rows or make changes to formula, the password is TGB.</t>
  </si>
  <si>
    <t>(Sets, scenery and costumes)</t>
  </si>
  <si>
    <t>UBA, TREMOD 6.42 (12/2022), https://www.UBA.de/themen/verkehr/emissionsdaten#verkehrsmittelvergleich_personenverkehr_tabelle, "Eisenbahn, Fernverkehr"</t>
  </si>
  <si>
    <t>Carbon factor sources:</t>
  </si>
  <si>
    <t>2023 UK Government emission conversion factors (DESNZ)</t>
  </si>
  <si>
    <t>Base Empreinte, ADEME</t>
  </si>
  <si>
    <t>Default source of emissions unless specified elsewhere.</t>
  </si>
  <si>
    <t>Train, bus, coach, and car for Germany.</t>
  </si>
  <si>
    <t>Train, tram, metro, bus, coach, motorbike, car, and electric bicylce for Netherlands.</t>
  </si>
  <si>
    <t>Train, tram, metro, bus, coach, motorbike, and electric bicylce for Belgium.</t>
  </si>
  <si>
    <t>Train, tram, metro, bus, coach, car and motorbike for France. Electric bicycle for all countries except Belgium and Netherlands. Train for all countries except UK, Germany, Belguim, and Netherlands. Light rail/tram for Iceland, Sweden, Norway, Switzerland, Liechtenstein, Luxembourg, Finland, France, Monaco, Andorra, Latvia, Austria.</t>
  </si>
  <si>
    <t>Carbon factor sources</t>
  </si>
  <si>
    <t>New costumes</t>
  </si>
  <si>
    <t>Column1</t>
  </si>
  <si>
    <t>release date:</t>
  </si>
  <si>
    <t>New metal sections with minimal or zero recycled content should be scored as '5'.</t>
  </si>
  <si>
    <t xml:space="preserve">Salvaged metal sections should be scored as '3'. </t>
  </si>
  <si>
    <t>'Recycled' steel or aluminium</t>
  </si>
  <si>
    <t>New metal sections with a recycled metal content of 90% or more should be scored as '4'.</t>
  </si>
  <si>
    <t>Type</t>
  </si>
  <si>
    <t>DON'T INCLUDE SMALL ITEMS LIKE SCREWS, ADHESIVES, TAPE OR PAINT. ESTIMATE WEIGHTS, IF NECESSARY. BREAK DOWN COMPOSITE ITEMS INTO SEVERAL LINES, IF NECESSARY (see Scenery Example).</t>
  </si>
  <si>
    <t>'REUSED' MEANS A WHOLE ELEMENT IS USED AGAIN WITH MINOR MODIFICATIONS (eg a repainted table).</t>
  </si>
  <si>
    <t>Copy the weights below into the table above where required</t>
  </si>
  <si>
    <t>To make changes to any of the locked cells, you can unprotect the sheet using the password 'TGB'.</t>
  </si>
  <si>
    <t>For car, van, bicycle and motorbike, the trip is calculated for a whole vehicle, whilst for all other means of transport, the trip is calculated per passenger.</t>
  </si>
  <si>
    <t>fills automatically</t>
  </si>
  <si>
    <t>BASIC</t>
  </si>
  <si>
    <t>INTERMEDIATE</t>
  </si>
  <si>
    <t>ADVANCED</t>
  </si>
  <si>
    <t>In each box, choose YES or NO</t>
  </si>
  <si>
    <t>General</t>
  </si>
  <si>
    <t>Best practice</t>
  </si>
  <si>
    <t>Current practice</t>
  </si>
  <si>
    <t>DONE?</t>
  </si>
  <si>
    <t>Technical theatre</t>
  </si>
  <si>
    <t>Have you begun to implement the plan to reduce the impact of your practice?</t>
  </si>
  <si>
    <t>Do you fully implement the plan on all productions?</t>
  </si>
  <si>
    <t>Technical theatre suggestions</t>
  </si>
  <si>
    <t>Do you use reuse or hired equipment wherever possible?</t>
  </si>
  <si>
    <t>• Increase the use of Pre Vis for designers, this relies heavily on design deadlines being met to allow time for 3D model and of course enough ideas from rehearsals to formulate anything worthwhile in the virtual world.</t>
  </si>
  <si>
    <t>• Borrow practicals from other LDs or Theatres where possible.</t>
  </si>
  <si>
    <t>• Glass cleaner can be made with vinegar and water.</t>
  </si>
  <si>
    <t>• Do you need canned compressed air, or could you invest in a workshop compressor?</t>
  </si>
  <si>
    <t>• Use rubber anchor bands to secure the extension cables.</t>
  </si>
  <si>
    <t>Deliveries</t>
  </si>
  <si>
    <t xml:space="preserve">• Have more onsite storage than relying on weekly van runs, and resist one off’s to get that piece of kit. </t>
  </si>
  <si>
    <t>• Think about whether any “emergency” kit really needs to be rush ordered, or if it can wait a day or two to be delivered with other items rather than requiring a van of its own.</t>
  </si>
  <si>
    <t>• If possible, coordinate deliveries with other departments.</t>
  </si>
  <si>
    <t>• Standardise procurement of LED lighting tape, connectors and consumables, for cost efficiencies as well as avoiding silo orders and ideally from veritable suppliers, rather than just the cheapest from Amazon, as budgets may have required.</t>
  </si>
  <si>
    <t>Have you made a plan to reduce the impact of your practice, across all technical departments, using the suggestions below (where relevant)?</t>
  </si>
  <si>
    <t>PVC tape</t>
  </si>
  <si>
    <t xml:space="preserve">• Move away from PVC tape unless absolutely necessary and seek alternatives for labelling. </t>
  </si>
  <si>
    <t>• Reusable cable ties and bungees are better. Some business waste companies will recycle cable ties at their end of life.</t>
  </si>
  <si>
    <t>• Cloth ties are better still.</t>
  </si>
  <si>
    <t>• Use chalk pens to mark out positions on stage for equipment, until positions have been set during the rehearsal process (instead of using lots of PVC plastic tape).</t>
  </si>
  <si>
    <t>• Use paint pens to mark-up equipment rigged onto scenic elements instead of single-use PVC plastic tape. Paint pens can also be used to mark-up the standard rig of equipment permanent positions instead of PVC plastic tape.</t>
  </si>
  <si>
    <t>Lighting gel</t>
  </si>
  <si>
    <t xml:space="preserve">• Re-use gel whenever possible. </t>
  </si>
  <si>
    <t>• Consider whether you REALLY need a specific colour, or whether a similar one that’s already in stock would do.  </t>
  </si>
  <si>
    <t>• Leave Gel behind at the final venue on a tour, to add to their stock.</t>
  </si>
  <si>
    <t>• When gel burns out or fades, bag it up and offer it out to local schools, nurseries &amp; kids’ clubs – they love it for crafting.</t>
  </si>
  <si>
    <t>• Failing that, Lee Filters are recyclable (as Dry Mixed Recyclables).</t>
  </si>
  <si>
    <t xml:space="preserve">• Consider using dichroic filters instead of gel for long-term installations. </t>
  </si>
  <si>
    <t xml:space="preserve">• Use rechargeable batteries if needed for set/prop practicals, torches, &amp; other equipment. </t>
  </si>
  <si>
    <t>Power consumption</t>
  </si>
  <si>
    <t>• Use lower wattage lamps where possible (500W instead of 650W for units in studio settings, or 375W in S4s. Do you really need 1200W in your Cantatas in the main house, or would 1000W do?)</t>
  </si>
  <si>
    <t>• Fade up lights when focussing, and try focussing at 80%, or even less.</t>
  </si>
  <si>
    <t>Hire</t>
  </si>
  <si>
    <t>• Where possible, request that suppliers send items via electric fleet, or carbon neutral courier.</t>
  </si>
  <si>
    <t>• Use the closest hire provider you can find.</t>
  </si>
  <si>
    <t>• Ask for their sustainability policy.</t>
  </si>
  <si>
    <t>• When hiring, try and ensure enough spares are included to cover the full run – to avoid the additional carbon cost of having replacements shipped out. </t>
  </si>
  <si>
    <t>Procedures</t>
  </si>
  <si>
    <t>• Establish procedures for working in an energy efficient way. This includes switch-off routines: switching off discharge lighting between the end of the reset or rig check and the half hour call before the show starts, and between matinee and evening performances; turning off dimmer racks, PSUs, drivers and other tech overnight.</t>
  </si>
  <si>
    <t>• Prevent a culture of continual upgrades and bespoke items. This could include accepting older equipment models.</t>
  </si>
  <si>
    <t>Waste</t>
  </si>
  <si>
    <t>• Ensure safe channels available for refurbishing or disposing of electronic equipment.</t>
  </si>
  <si>
    <t>• Follow best practice in disposal of waste. For electrical equipment, this includes recycling blown bulbs and equipment. Efforts can be made to work with suppliers to take back equipment to be repurposed and refurbished.</t>
  </si>
  <si>
    <t>• Consider how materials can be reused, donated, repurposed, recycled or stored for future use at production completion. This includes bespokeequipment, screens, gels, practicals etc.</t>
  </si>
  <si>
    <r>
      <t xml:space="preserve">• </t>
    </r>
    <r>
      <rPr>
        <b/>
        <sz val="14"/>
        <color theme="9"/>
        <rFont val="Calibri"/>
        <family val="2"/>
        <scheme val="minor"/>
      </rPr>
      <t>TECHNICAL</t>
    </r>
    <r>
      <rPr>
        <sz val="14"/>
        <color theme="1"/>
        <rFont val="Calibri"/>
        <family val="2"/>
        <scheme val="minor"/>
      </rPr>
      <t xml:space="preserve"> : Begin to implement your plan to reduce the impact of your practice across all technical departments (see Technical worksheet).</t>
    </r>
  </si>
  <si>
    <r>
      <t xml:space="preserve">• </t>
    </r>
    <r>
      <rPr>
        <b/>
        <sz val="14"/>
        <color theme="9"/>
        <rFont val="Calibri"/>
        <family val="2"/>
        <scheme val="minor"/>
      </rPr>
      <t>TECHNICAL</t>
    </r>
    <r>
      <rPr>
        <sz val="14"/>
        <color theme="1"/>
        <rFont val="Calibri"/>
        <family val="2"/>
        <scheme val="minor"/>
      </rPr>
      <t xml:space="preserve"> : Use re-used or hired equipment where possible. Make a plan to reduce the impact of your practice across all technical departments (see Technical worksheet). </t>
    </r>
  </si>
  <si>
    <t>Fills automatically. See TECHNICAL worksheet</t>
  </si>
  <si>
    <r>
      <t xml:space="preserve">• </t>
    </r>
    <r>
      <rPr>
        <b/>
        <sz val="14"/>
        <color theme="9"/>
        <rFont val="Calibri"/>
        <family val="2"/>
        <scheme val="minor"/>
      </rPr>
      <t>TECHNICAL</t>
    </r>
    <r>
      <rPr>
        <sz val="14"/>
        <color theme="1"/>
        <rFont val="Calibri"/>
        <family val="2"/>
        <scheme val="minor"/>
      </rPr>
      <t xml:space="preserve"> : Fully implement your plan to reduce the impact of your practice across all technical departments (see Technical worksheet).</t>
    </r>
  </si>
  <si>
    <t>• Use digital scripts for operating.</t>
  </si>
  <si>
    <t>• Maintain all equipment to prolong its life. Store carefully, e.g. store microphones in dry boxes.</t>
  </si>
  <si>
    <t>• Identify possible sustainable disposal routes. This could include contracts agreeing to refurbish and mend broken equipment.</t>
  </si>
  <si>
    <t>• Recycle dry cells wherever possible.</t>
  </si>
  <si>
    <t>• Use recharegable cells for TX/RX and personal use (eg headtorches).</t>
  </si>
  <si>
    <t>• Set efficient overnight power states for all equipment.</t>
  </si>
  <si>
    <t>• Space racks efficiently to reduce fan workload.</t>
  </si>
  <si>
    <t>• Repair equipment wherever possible, rather than replacing (e.g. comm.s headsets). Reterminate equiment, eg microphones, to extend life.</t>
  </si>
  <si>
    <t>• Fit strain relief on cables to prolong equipment life.</t>
  </si>
  <si>
    <t xml:space="preserve">• When buying, choosing the manufactures who have, replaceable elements, and recyclability at the end of life. Theatre-makers should make clear to manfacturers that long lifespan and repairability are key to sustainable technical theatre. </t>
  </si>
  <si>
    <t xml:space="preserve">• When hiring ask the hire house for equipment that you know is sustainably manufactured. </t>
  </si>
  <si>
    <t>• Where possible, choose hire companies which offer sustainable transport. Ask for transport details, and record all deliveries.</t>
  </si>
  <si>
    <t>• Delivery miles are one of the key impacts of hired equipment. Minimise them by reducing numbers of deliveries, and by choosing hire companies that offer sustainable transport.</t>
  </si>
  <si>
    <t>Set designer</t>
  </si>
  <si>
    <t>Lighting lead</t>
  </si>
  <si>
    <t>Sound lead</t>
  </si>
  <si>
    <t>Technical lead</t>
  </si>
  <si>
    <t>• Invest in casing / tubing to protect LED lighting tape and allow for reuse.</t>
  </si>
  <si>
    <r>
      <t xml:space="preserve">• </t>
    </r>
    <r>
      <rPr>
        <b/>
        <sz val="14"/>
        <color theme="9"/>
        <rFont val="Calibri"/>
        <family val="2"/>
        <scheme val="minor"/>
      </rPr>
      <t>PRODUCING</t>
    </r>
    <r>
      <rPr>
        <sz val="14"/>
        <color theme="1"/>
        <rFont val="Calibri"/>
        <family val="2"/>
        <scheme val="minor"/>
      </rPr>
      <t xml:space="preserve"> : </t>
    </r>
    <r>
      <rPr>
        <sz val="14"/>
        <color theme="1"/>
        <rFont val="Calibri (Body)"/>
      </rPr>
      <t xml:space="preserve">Use </t>
    </r>
    <r>
      <rPr>
        <b/>
        <sz val="14"/>
        <color theme="9"/>
        <rFont val="Calibri"/>
        <family val="2"/>
        <scheme val="minor"/>
      </rPr>
      <t>CARBON CALCULATORS</t>
    </r>
    <r>
      <rPr>
        <sz val="14"/>
        <color theme="1"/>
        <rFont val="Calibri (Body)"/>
      </rPr>
      <t xml:space="preserve"> (included in Production Calculator) to aid decision-making on new scenery materials and travel. </t>
    </r>
    <r>
      <rPr>
        <sz val="14"/>
        <color theme="1"/>
        <rFont val="Calibri"/>
        <family val="2"/>
        <scheme val="minor"/>
      </rPr>
      <t>Encourage the creative team and cast to promote the production's sustainability.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</si>
</sst>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quot;kg&quot;"/>
    <numFmt numFmtId="165" formatCode="#\ &quot;km&quot;"/>
    <numFmt numFmtId="166" formatCode="#,###\ &quot;m3&quot;"/>
    <numFmt numFmtId="167" formatCode="#,###,###,###\ &quot;kg C02&quot;"/>
    <numFmt numFmtId="168" formatCode="[$-F800]dddd\,\ mmmm\ dd\,\ yyyy"/>
    <numFmt numFmtId="169" formatCode="#,###.0\ &quot;kg&quot;"/>
    <numFmt numFmtId="170" formatCode="0.0"/>
    <numFmt numFmtId="171" formatCode="0.000"/>
    <numFmt numFmtId="172" formatCode="0.000000"/>
  </numFmts>
  <fonts count="16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theme="1"/>
      <name val="Segoe UI"/>
      <family val="2"/>
    </font>
    <font>
      <sz val="11"/>
      <color theme="1"/>
      <name val="Segoe UI"/>
      <family val="2"/>
    </font>
    <font>
      <sz val="11"/>
      <color theme="1" tint="0.34998626667073579"/>
      <name val="Segoe UI"/>
      <family val="2"/>
    </font>
    <font>
      <b/>
      <sz val="10"/>
      <color theme="1"/>
      <name val="Segoe UI"/>
      <family val="2"/>
    </font>
    <font>
      <sz val="8"/>
      <color theme="1"/>
      <name val="Segoe UI"/>
      <family val="2"/>
    </font>
    <font>
      <sz val="9"/>
      <color indexed="81"/>
      <name val="Tahoma"/>
      <family val="2"/>
    </font>
    <font>
      <b/>
      <sz val="9"/>
      <color indexed="81"/>
      <name val="Tahoma"/>
      <family val="2"/>
    </font>
    <font>
      <sz val="12"/>
      <color theme="1"/>
      <name val="Avenir Next Regular"/>
    </font>
    <font>
      <sz val="12"/>
      <color theme="1"/>
      <name val="Arial"/>
      <family val="2"/>
    </font>
    <font>
      <b/>
      <sz val="12"/>
      <color theme="1"/>
      <name val="Georgia"/>
      <family val="1"/>
    </font>
    <font>
      <sz val="10"/>
      <color theme="1"/>
      <name val="Georgia"/>
      <family val="1"/>
    </font>
    <font>
      <sz val="12"/>
      <color theme="1"/>
      <name val="Georgia"/>
      <family val="1"/>
    </font>
    <font>
      <sz val="11"/>
      <color theme="1"/>
      <name val="Georgia"/>
      <family val="1"/>
    </font>
    <font>
      <sz val="8"/>
      <color theme="1"/>
      <name val="Georgia"/>
      <family val="1"/>
    </font>
    <font>
      <b/>
      <sz val="11"/>
      <color theme="1"/>
      <name val="Georgia"/>
      <family val="1"/>
    </font>
    <font>
      <sz val="10"/>
      <color theme="1" tint="0.34998626667073579"/>
      <name val="Georgia"/>
      <family val="1"/>
    </font>
    <font>
      <sz val="8"/>
      <color theme="1" tint="0.34998626667073579"/>
      <name val="Georgia"/>
      <family val="1"/>
    </font>
    <font>
      <sz val="11"/>
      <color theme="1" tint="0.34998626667073579"/>
      <name val="Georgia"/>
      <family val="1"/>
    </font>
    <font>
      <b/>
      <sz val="10"/>
      <color theme="1"/>
      <name val="Georgia"/>
      <family val="1"/>
    </font>
    <font>
      <b/>
      <sz val="8"/>
      <color theme="1"/>
      <name val="Georgia"/>
      <family val="1"/>
    </font>
    <font>
      <sz val="10"/>
      <color theme="2" tint="-0.499984740745262"/>
      <name val="Georgia"/>
      <family val="1"/>
    </font>
    <font>
      <sz val="8"/>
      <color theme="2" tint="-0.499984740745262"/>
      <name val="Georgia"/>
      <family val="1"/>
    </font>
    <font>
      <sz val="10"/>
      <name val="Georgia"/>
      <family val="1"/>
    </font>
    <font>
      <sz val="10"/>
      <color rgb="FFFF0000"/>
      <name val="Georgia"/>
      <family val="1"/>
    </font>
    <font>
      <sz val="8"/>
      <color rgb="FFFF0000"/>
      <name val="Georgia"/>
      <family val="1"/>
    </font>
    <font>
      <sz val="11"/>
      <color theme="9" tint="-0.499984740745262"/>
      <name val="Georgia"/>
      <family val="1"/>
    </font>
    <font>
      <b/>
      <sz val="11"/>
      <name val="Georgia"/>
      <family val="1"/>
    </font>
    <font>
      <sz val="12"/>
      <color theme="1"/>
      <name val="Calibri"/>
      <family val="2"/>
      <scheme val="minor"/>
    </font>
    <font>
      <sz val="14"/>
      <color theme="1"/>
      <name val="Calibri"/>
      <family val="2"/>
      <scheme val="minor"/>
    </font>
    <font>
      <sz val="11"/>
      <color theme="0"/>
      <name val="Calibri"/>
      <family val="2"/>
      <scheme val="minor"/>
    </font>
    <font>
      <sz val="12"/>
      <color theme="0"/>
      <name val="Calibri"/>
      <family val="2"/>
      <scheme val="minor"/>
    </font>
    <font>
      <b/>
      <sz val="9"/>
      <color rgb="FF000000"/>
      <name val="Tahoma"/>
      <family val="2"/>
    </font>
    <font>
      <sz val="9"/>
      <color rgb="FF000000"/>
      <name val="Tahoma"/>
      <family val="2"/>
    </font>
    <font>
      <b/>
      <sz val="12"/>
      <color theme="1"/>
      <name val="Calibri"/>
      <family val="2"/>
      <scheme val="minor"/>
    </font>
    <font>
      <b/>
      <sz val="18"/>
      <color theme="1"/>
      <name val="Calibri"/>
      <family val="2"/>
      <scheme val="minor"/>
    </font>
    <font>
      <i/>
      <sz val="12"/>
      <color theme="1"/>
      <name val="Calibri"/>
      <family val="2"/>
      <scheme val="minor"/>
    </font>
    <font>
      <b/>
      <i/>
      <sz val="12"/>
      <color theme="1"/>
      <name val="Calibri"/>
      <family val="2"/>
      <scheme val="minor"/>
    </font>
    <font>
      <sz val="10"/>
      <color theme="1"/>
      <name val="Calibri"/>
      <family val="2"/>
      <scheme val="minor"/>
    </font>
    <font>
      <sz val="8"/>
      <color theme="1"/>
      <name val="Calibri"/>
      <family val="2"/>
      <scheme val="minor"/>
    </font>
    <font>
      <b/>
      <i/>
      <sz val="14"/>
      <color theme="9" tint="-0.499984740745262"/>
      <name val="Calibri"/>
      <family val="2"/>
      <scheme val="minor"/>
    </font>
    <font>
      <b/>
      <sz val="14"/>
      <color theme="1"/>
      <name val="Calibri"/>
      <family val="2"/>
      <scheme val="minor"/>
    </font>
    <font>
      <b/>
      <i/>
      <sz val="14"/>
      <color theme="1"/>
      <name val="Calibri"/>
      <family val="2"/>
      <scheme val="minor"/>
    </font>
    <font>
      <b/>
      <i/>
      <sz val="14"/>
      <color theme="9" tint="-0.249977111117893"/>
      <name val="Calibri"/>
      <family val="2"/>
      <scheme val="minor"/>
    </font>
    <font>
      <sz val="11"/>
      <name val="Calibri"/>
      <family val="2"/>
      <scheme val="minor"/>
    </font>
    <font>
      <b/>
      <sz val="10"/>
      <color theme="1"/>
      <name val="Calibri"/>
      <family val="2"/>
      <scheme val="minor"/>
    </font>
    <font>
      <sz val="10"/>
      <color theme="2" tint="-0.499984740745262"/>
      <name val="Calibri"/>
      <family val="2"/>
      <scheme val="minor"/>
    </font>
    <font>
      <b/>
      <u/>
      <sz val="14"/>
      <color theme="1"/>
      <name val="Calibri"/>
      <family val="2"/>
      <scheme val="minor"/>
    </font>
    <font>
      <i/>
      <sz val="14"/>
      <color theme="1"/>
      <name val="Calibri"/>
      <family val="2"/>
      <scheme val="minor"/>
    </font>
    <font>
      <b/>
      <sz val="28"/>
      <color theme="1"/>
      <name val="Calibri"/>
      <family val="2"/>
      <scheme val="minor"/>
    </font>
    <font>
      <b/>
      <sz val="10"/>
      <color theme="2" tint="-0.499984740745262"/>
      <name val="Calibri"/>
      <family val="2"/>
      <scheme val="minor"/>
    </font>
    <font>
      <sz val="12"/>
      <name val="Calibri"/>
      <family val="2"/>
      <scheme val="minor"/>
    </font>
    <font>
      <b/>
      <sz val="16"/>
      <color theme="1"/>
      <name val="Calibri"/>
      <family val="2"/>
      <scheme val="minor"/>
    </font>
    <font>
      <b/>
      <sz val="11"/>
      <color theme="1"/>
      <name val="Calibri"/>
      <family val="2"/>
      <scheme val="minor"/>
    </font>
    <font>
      <b/>
      <sz val="12"/>
      <name val="Calibri"/>
      <family val="2"/>
      <scheme val="minor"/>
    </font>
    <font>
      <b/>
      <sz val="22"/>
      <color theme="9" tint="-0.249977111117893"/>
      <name val="Calibri"/>
      <family val="2"/>
      <scheme val="minor"/>
    </font>
    <font>
      <i/>
      <sz val="14"/>
      <name val="Calibri"/>
      <family val="2"/>
      <scheme val="minor"/>
    </font>
    <font>
      <sz val="14"/>
      <color theme="0"/>
      <name val="Calibri"/>
      <family val="2"/>
      <scheme val="minor"/>
    </font>
    <font>
      <b/>
      <sz val="22"/>
      <color theme="1"/>
      <name val="Calibri"/>
      <family val="2"/>
      <scheme val="minor"/>
    </font>
    <font>
      <b/>
      <i/>
      <sz val="14"/>
      <color theme="0"/>
      <name val="Calibri"/>
      <family val="2"/>
      <scheme val="minor"/>
    </font>
    <font>
      <sz val="8"/>
      <color theme="0"/>
      <name val="Calibri"/>
      <family val="2"/>
      <scheme val="minor"/>
    </font>
    <font>
      <b/>
      <sz val="20"/>
      <color theme="0"/>
      <name val="Calibri"/>
      <family val="2"/>
      <scheme val="minor"/>
    </font>
    <font>
      <b/>
      <sz val="16"/>
      <color theme="3" tint="-0.249977111117893"/>
      <name val="Calibri"/>
      <family val="2"/>
      <scheme val="minor"/>
    </font>
    <font>
      <sz val="16"/>
      <color theme="1"/>
      <name val="Calibri"/>
      <family val="2"/>
      <scheme val="minor"/>
    </font>
    <font>
      <b/>
      <sz val="16"/>
      <name val="Calibri"/>
      <family val="2"/>
      <scheme val="minor"/>
    </font>
    <font>
      <i/>
      <sz val="16"/>
      <name val="Calibri"/>
      <family val="2"/>
      <scheme val="minor"/>
    </font>
    <font>
      <i/>
      <sz val="16"/>
      <color theme="3" tint="-0.249977111117893"/>
      <name val="Calibri"/>
      <family val="2"/>
      <scheme val="minor"/>
    </font>
    <font>
      <b/>
      <sz val="14"/>
      <name val="Calibri"/>
      <family val="2"/>
      <scheme val="minor"/>
    </font>
    <font>
      <sz val="11"/>
      <color theme="1"/>
      <name val="Calibri"/>
      <family val="2"/>
      <scheme val="minor"/>
    </font>
    <font>
      <sz val="18"/>
      <color theme="1"/>
      <name val="Calibri"/>
      <family val="2"/>
      <scheme val="minor"/>
    </font>
    <font>
      <sz val="9"/>
      <color theme="1"/>
      <name val="Calibri"/>
      <family val="2"/>
      <scheme val="minor"/>
    </font>
    <font>
      <b/>
      <sz val="36"/>
      <color theme="0"/>
      <name val="Calibri"/>
      <family val="2"/>
      <scheme val="minor"/>
    </font>
    <font>
      <b/>
      <sz val="24"/>
      <color theme="1"/>
      <name val="Calibri"/>
      <family val="2"/>
      <scheme val="minor"/>
    </font>
    <font>
      <b/>
      <sz val="16"/>
      <color rgb="FFFF0000"/>
      <name val="Calibri"/>
      <family val="2"/>
      <scheme val="minor"/>
    </font>
    <font>
      <i/>
      <sz val="14"/>
      <color rgb="FFFF0000"/>
      <name val="Calibri"/>
      <family val="2"/>
      <scheme val="minor"/>
    </font>
    <font>
      <b/>
      <i/>
      <sz val="14"/>
      <color rgb="FFFF0000"/>
      <name val="Calibri"/>
      <family val="2"/>
      <scheme val="minor"/>
    </font>
    <font>
      <i/>
      <sz val="12"/>
      <color rgb="FFFF0000"/>
      <name val="Calibri"/>
      <family val="2"/>
      <scheme val="minor"/>
    </font>
    <font>
      <b/>
      <sz val="18"/>
      <name val="Calibri"/>
      <family val="2"/>
      <scheme val="minor"/>
    </font>
    <font>
      <b/>
      <i/>
      <sz val="14"/>
      <name val="Calibri"/>
      <family val="2"/>
      <scheme val="minor"/>
    </font>
    <font>
      <i/>
      <sz val="14"/>
      <color theme="3" tint="-0.249977111117893"/>
      <name val="Calibri"/>
      <family val="2"/>
      <scheme val="minor"/>
    </font>
    <font>
      <sz val="11"/>
      <color rgb="FF92D050"/>
      <name val="Calibri"/>
      <family val="2"/>
      <scheme val="minor"/>
    </font>
    <font>
      <b/>
      <sz val="36"/>
      <color rgb="FF92D050"/>
      <name val="Calibri"/>
      <family val="2"/>
      <scheme val="minor"/>
    </font>
    <font>
      <sz val="12"/>
      <color rgb="FF92D050"/>
      <name val="Georgia"/>
      <family val="1"/>
    </font>
    <font>
      <sz val="11"/>
      <color rgb="FF92D050"/>
      <name val="Georgia"/>
      <family val="1"/>
    </font>
    <font>
      <b/>
      <sz val="14"/>
      <color rgb="FF92D050"/>
      <name val="Georgia"/>
      <family val="1"/>
    </font>
    <font>
      <sz val="36"/>
      <color rgb="FF92D050"/>
      <name val="Calibri"/>
      <family val="2"/>
      <scheme val="minor"/>
    </font>
    <font>
      <sz val="10"/>
      <color theme="1" tint="0.34998626667073579"/>
      <name val="Calibri"/>
      <family val="2"/>
      <scheme val="minor"/>
    </font>
    <font>
      <sz val="8"/>
      <color theme="1" tint="0.34998626667073579"/>
      <name val="Calibri"/>
      <family val="2"/>
      <scheme val="minor"/>
    </font>
    <font>
      <sz val="11"/>
      <color theme="1" tint="0.34998626667073579"/>
      <name val="Calibri"/>
      <family val="2"/>
      <scheme val="minor"/>
    </font>
    <font>
      <b/>
      <sz val="8"/>
      <color theme="1"/>
      <name val="Calibri"/>
      <family val="2"/>
      <scheme val="minor"/>
    </font>
    <font>
      <sz val="10"/>
      <name val="Calibri"/>
      <family val="2"/>
      <scheme val="minor"/>
    </font>
    <font>
      <sz val="10"/>
      <color rgb="FFFF0000"/>
      <name val="Calibri"/>
      <family val="2"/>
      <scheme val="minor"/>
    </font>
    <font>
      <sz val="8"/>
      <color rgb="FFFF0000"/>
      <name val="Calibri"/>
      <family val="2"/>
      <scheme val="minor"/>
    </font>
    <font>
      <sz val="11"/>
      <color theme="9" tint="-0.499984740745262"/>
      <name val="Calibri"/>
      <family val="2"/>
      <scheme val="minor"/>
    </font>
    <font>
      <sz val="8"/>
      <color theme="2" tint="-0.499984740745262"/>
      <name val="Calibri"/>
      <family val="2"/>
      <scheme val="minor"/>
    </font>
    <font>
      <b/>
      <u/>
      <sz val="10"/>
      <color theme="1"/>
      <name val="Calibri"/>
      <family val="2"/>
      <scheme val="minor"/>
    </font>
    <font>
      <sz val="12"/>
      <color theme="0" tint="-0.34998626667073579"/>
      <name val="Calibri"/>
      <family val="2"/>
      <scheme val="minor"/>
    </font>
    <font>
      <b/>
      <i/>
      <sz val="16"/>
      <color theme="0" tint="-0.34998626667073579"/>
      <name val="Calibri"/>
      <family val="2"/>
      <scheme val="minor"/>
    </font>
    <font>
      <b/>
      <sz val="12"/>
      <color theme="0" tint="-0.34998626667073579"/>
      <name val="Calibri"/>
      <family val="2"/>
      <scheme val="minor"/>
    </font>
    <font>
      <sz val="11"/>
      <color theme="0" tint="-0.499984740745262"/>
      <name val="Calibri"/>
      <family val="2"/>
      <scheme val="minor"/>
    </font>
    <font>
      <sz val="22"/>
      <color theme="9" tint="-0.249977111117893"/>
      <name val="Calibri"/>
      <family val="2"/>
      <scheme val="minor"/>
    </font>
    <font>
      <sz val="11"/>
      <color theme="0" tint="-0.34998626667073579"/>
      <name val="Calibri"/>
      <family val="2"/>
      <scheme val="minor"/>
    </font>
    <font>
      <b/>
      <sz val="10"/>
      <color rgb="FF000000"/>
      <name val="Calibri"/>
      <family val="2"/>
      <scheme val="minor"/>
    </font>
    <font>
      <b/>
      <sz val="24"/>
      <color theme="9" tint="-0.249977111117893"/>
      <name val="Calibri"/>
      <family val="2"/>
      <scheme val="minor"/>
    </font>
    <font>
      <b/>
      <sz val="12"/>
      <color theme="5" tint="-0.249977111117893"/>
      <name val="Calibri"/>
      <family val="2"/>
      <scheme val="minor"/>
    </font>
    <font>
      <b/>
      <i/>
      <sz val="8"/>
      <color theme="1"/>
      <name val="Calibri"/>
      <family val="2"/>
      <scheme val="minor"/>
    </font>
    <font>
      <sz val="14"/>
      <name val="Calibri"/>
      <family val="2"/>
      <scheme val="minor"/>
    </font>
    <font>
      <sz val="14"/>
      <color theme="3" tint="-0.249977111117893"/>
      <name val="Calibri"/>
      <family val="2"/>
      <scheme val="minor"/>
    </font>
    <font>
      <sz val="12"/>
      <color rgb="FF000000"/>
      <name val="Calibri"/>
      <family val="2"/>
      <scheme val="minor"/>
    </font>
    <font>
      <i/>
      <sz val="18"/>
      <color theme="1"/>
      <name val="Calibri"/>
      <family val="2"/>
      <scheme val="minor"/>
    </font>
    <font>
      <b/>
      <sz val="72"/>
      <color theme="0" tint="-0.249977111117893"/>
      <name val="Calibri"/>
      <family val="2"/>
      <scheme val="minor"/>
    </font>
    <font>
      <sz val="10"/>
      <color theme="1"/>
      <name val="Avenir Next Regular"/>
    </font>
    <font>
      <i/>
      <sz val="12"/>
      <color theme="1"/>
      <name val="Avenir Next"/>
      <family val="2"/>
    </font>
    <font>
      <sz val="26"/>
      <color theme="9"/>
      <name val="Calibri"/>
      <family val="2"/>
      <scheme val="minor"/>
    </font>
    <font>
      <b/>
      <sz val="26"/>
      <color theme="1"/>
      <name val="Calibri"/>
      <family val="2"/>
      <scheme val="minor"/>
    </font>
    <font>
      <sz val="24"/>
      <color theme="1"/>
      <name val="Calibri"/>
      <family val="2"/>
      <scheme val="minor"/>
    </font>
    <font>
      <b/>
      <i/>
      <sz val="28"/>
      <color rgb="FF7030A0"/>
      <name val="Calibri"/>
      <family val="2"/>
      <scheme val="minor"/>
    </font>
    <font>
      <sz val="14"/>
      <color theme="9"/>
      <name val="Calibri"/>
      <family val="2"/>
      <scheme val="minor"/>
    </font>
    <font>
      <b/>
      <sz val="14"/>
      <color theme="9"/>
      <name val="Calibri"/>
      <family val="2"/>
      <scheme val="minor"/>
    </font>
    <font>
      <b/>
      <sz val="14"/>
      <color theme="9"/>
      <name val="Calibri (Body)"/>
    </font>
    <font>
      <b/>
      <i/>
      <sz val="28"/>
      <color theme="1"/>
      <name val="Calibri"/>
      <family val="2"/>
      <scheme val="minor"/>
    </font>
    <font>
      <i/>
      <sz val="9"/>
      <color theme="1"/>
      <name val="Calibri"/>
      <family val="2"/>
      <scheme val="minor"/>
    </font>
    <font>
      <b/>
      <sz val="9"/>
      <color theme="1"/>
      <name val="Calibri"/>
      <family val="2"/>
      <scheme val="minor"/>
    </font>
    <font>
      <sz val="14"/>
      <color theme="1"/>
      <name val="Calibri (Body)"/>
    </font>
    <font>
      <b/>
      <u/>
      <sz val="16"/>
      <color rgb="FFFF0000"/>
      <name val="Calibri"/>
      <family val="2"/>
      <scheme val="minor"/>
    </font>
    <font>
      <sz val="16"/>
      <name val="Calibri"/>
      <family val="2"/>
      <scheme val="minor"/>
    </font>
    <font>
      <sz val="18"/>
      <name val="Calibri"/>
      <family val="2"/>
      <scheme val="minor"/>
    </font>
    <font>
      <sz val="18"/>
      <color theme="0"/>
      <name val="Calibri"/>
      <family val="2"/>
      <scheme val="minor"/>
    </font>
    <font>
      <b/>
      <sz val="18"/>
      <color theme="9" tint="-0.249977111117893"/>
      <name val="Calibri"/>
      <family val="2"/>
      <scheme val="minor"/>
    </font>
    <font>
      <i/>
      <sz val="16"/>
      <color rgb="FFFF0000"/>
      <name val="Calibri"/>
      <family val="2"/>
      <scheme val="minor"/>
    </font>
    <font>
      <b/>
      <i/>
      <sz val="18"/>
      <color theme="1"/>
      <name val="Calibri"/>
      <family val="2"/>
      <scheme val="minor"/>
    </font>
    <font>
      <i/>
      <sz val="11"/>
      <color theme="1"/>
      <name val="Calibri"/>
      <family val="2"/>
      <scheme val="minor"/>
    </font>
    <font>
      <i/>
      <sz val="10"/>
      <color rgb="FFFF0000"/>
      <name val="Calibri"/>
      <family val="2"/>
      <scheme val="minor"/>
    </font>
    <font>
      <sz val="14"/>
      <color theme="9"/>
      <name val="Calibri (Body)"/>
    </font>
    <font>
      <u/>
      <sz val="11"/>
      <color theme="10"/>
      <name val="Calibri"/>
      <family val="2"/>
      <scheme val="minor"/>
    </font>
    <font>
      <i/>
      <sz val="16"/>
      <color theme="1"/>
      <name val="Calibri"/>
      <family val="2"/>
      <scheme val="minor"/>
    </font>
    <font>
      <b/>
      <sz val="14"/>
      <color rgb="FFFF0000"/>
      <name val="Calibri"/>
      <family val="2"/>
      <scheme val="minor"/>
    </font>
    <font>
      <b/>
      <i/>
      <sz val="16"/>
      <color rgb="FFFF0000"/>
      <name val="Calibri"/>
      <family val="2"/>
      <scheme val="minor"/>
    </font>
    <font>
      <b/>
      <i/>
      <sz val="16"/>
      <color theme="1"/>
      <name val="Calibri"/>
      <family val="2"/>
      <scheme val="minor"/>
    </font>
    <font>
      <sz val="12"/>
      <color indexed="81"/>
      <name val="Tahoma"/>
      <family val="2"/>
    </font>
    <font>
      <b/>
      <sz val="12"/>
      <color theme="0"/>
      <name val="Calibri"/>
      <family val="2"/>
      <scheme val="minor"/>
    </font>
    <font>
      <i/>
      <sz val="10"/>
      <color theme="1"/>
      <name val="Calibri"/>
      <family val="2"/>
      <scheme val="minor"/>
    </font>
    <font>
      <u/>
      <sz val="14"/>
      <color theme="10"/>
      <name val="Calibri"/>
      <family val="2"/>
      <scheme val="minor"/>
    </font>
    <font>
      <sz val="8"/>
      <name val="Calibri"/>
      <family val="2"/>
      <scheme val="minor"/>
    </font>
    <font>
      <b/>
      <sz val="36"/>
      <color rgb="FFFF0000"/>
      <name val="Calibri"/>
      <family val="2"/>
      <scheme val="minor"/>
    </font>
    <font>
      <b/>
      <sz val="24"/>
      <color theme="0"/>
      <name val="Calibri"/>
      <family val="2"/>
      <scheme val="minor"/>
    </font>
    <font>
      <i/>
      <sz val="11"/>
      <color rgb="FFFF0000"/>
      <name val="Calibri"/>
      <family val="2"/>
      <scheme val="minor"/>
    </font>
    <font>
      <b/>
      <i/>
      <sz val="11"/>
      <color rgb="FFFF0000"/>
      <name val="Calibri"/>
      <family val="2"/>
      <scheme val="minor"/>
    </font>
    <font>
      <sz val="11"/>
      <color rgb="FFFF0000"/>
      <name val="Calibri"/>
      <family val="2"/>
      <scheme val="minor"/>
    </font>
    <font>
      <b/>
      <i/>
      <sz val="11"/>
      <color theme="1"/>
      <name val="Calibri"/>
      <family val="2"/>
      <scheme val="minor"/>
    </font>
  </fonts>
  <fills count="2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rgb="FFFFDDF1"/>
        <bgColor indexed="64"/>
      </patternFill>
    </fill>
    <fill>
      <patternFill patternType="solid">
        <fgColor theme="0" tint="-0.14999847407452621"/>
        <bgColor theme="0" tint="-0.14999847407452621"/>
      </patternFill>
    </fill>
    <fill>
      <patternFill patternType="solid">
        <fgColor rgb="FFFFDDF1"/>
        <bgColor theme="0" tint="-0.14999847407452621"/>
      </patternFill>
    </fill>
    <fill>
      <patternFill patternType="solid">
        <fgColor theme="7"/>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rgb="FFBDD6EE"/>
      </patternFill>
    </fill>
    <fill>
      <patternFill patternType="solid">
        <fgColor rgb="FF92D050"/>
        <bgColor indexed="64"/>
      </patternFill>
    </fill>
    <fill>
      <patternFill patternType="solid">
        <fgColor rgb="FFE2EFDA"/>
        <bgColor indexed="64"/>
      </patternFill>
    </fill>
    <fill>
      <patternFill patternType="solid">
        <fgColor theme="5"/>
        <bgColor theme="5"/>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theme="0"/>
      </left>
      <right/>
      <top/>
      <bottom/>
      <diagonal/>
    </border>
    <border>
      <left style="thin">
        <color theme="0"/>
      </left>
      <right style="thin">
        <color theme="0"/>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right>
      <top style="thin">
        <color theme="0" tint="-0.34998626667073579"/>
      </top>
      <bottom/>
      <diagonal/>
    </border>
    <border>
      <left style="thin">
        <color theme="0" tint="-0.34998626667073579"/>
      </left>
      <right style="thin">
        <color theme="0"/>
      </right>
      <top/>
      <bottom/>
      <diagonal/>
    </border>
    <border>
      <left style="thin">
        <color theme="0" tint="-0.34998626667073579"/>
      </left>
      <right style="thin">
        <color theme="0"/>
      </right>
      <top/>
      <bottom style="thin">
        <color theme="0" tint="-0.34998626667073579"/>
      </bottom>
      <diagonal/>
    </border>
    <border>
      <left/>
      <right/>
      <top style="thin">
        <color theme="0" tint="-0.34998626667073579"/>
      </top>
      <bottom/>
      <diagonal/>
    </border>
    <border>
      <left style="thin">
        <color theme="0"/>
      </left>
      <right/>
      <top style="thin">
        <color theme="0" tint="-0.34998626667073579"/>
      </top>
      <bottom/>
      <diagonal/>
    </border>
    <border>
      <left style="thin">
        <color theme="0"/>
      </left>
      <right style="thin">
        <color theme="0" tint="-0.34998626667073579"/>
      </right>
      <top style="thin">
        <color theme="0" tint="-0.34998626667073579"/>
      </top>
      <bottom/>
      <diagonal/>
    </border>
    <border>
      <left/>
      <right/>
      <top/>
      <bottom style="thin">
        <color theme="0" tint="-0.34998626667073579"/>
      </bottom>
      <diagonal/>
    </border>
    <border>
      <left style="thin">
        <color theme="0"/>
      </left>
      <right/>
      <top style="thin">
        <color theme="0" tint="-0.34998626667073579"/>
      </top>
      <bottom style="thin">
        <color theme="0" tint="-0.34998626667073579"/>
      </bottom>
      <diagonal/>
    </border>
    <border>
      <left style="thin">
        <color theme="0"/>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left>
      <right style="thin">
        <color indexed="64"/>
      </right>
      <top style="thin">
        <color theme="0" tint="-0.34998626667073579"/>
      </top>
      <bottom/>
      <diagonal/>
    </border>
    <border>
      <left style="thin">
        <color theme="0"/>
      </left>
      <right/>
      <top style="thin">
        <color theme="0" tint="-0.34998626667073579"/>
      </top>
      <bottom style="thin">
        <color indexed="64"/>
      </bottom>
      <diagonal/>
    </border>
    <border>
      <left style="thin">
        <color theme="0"/>
      </left>
      <right style="thin">
        <color indexed="64"/>
      </right>
      <top style="thin">
        <color theme="0" tint="-0.34998626667073579"/>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92D050"/>
      </left>
      <right style="medium">
        <color rgb="FF92D050"/>
      </right>
      <top style="medium">
        <color rgb="FF92D050"/>
      </top>
      <bottom style="medium">
        <color rgb="FF92D050"/>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medium">
        <color rgb="FF92D050"/>
      </left>
      <right/>
      <top/>
      <bottom style="medium">
        <color rgb="FF92D050"/>
      </bottom>
      <diagonal/>
    </border>
    <border>
      <left/>
      <right/>
      <top/>
      <bottom style="medium">
        <color rgb="FF92D050"/>
      </bottom>
      <diagonal/>
    </border>
    <border>
      <left/>
      <right style="medium">
        <color rgb="FF92D050"/>
      </right>
      <top/>
      <bottom style="medium">
        <color rgb="FF92D050"/>
      </bottom>
      <diagonal/>
    </border>
    <border>
      <left style="medium">
        <color rgb="FF92D050"/>
      </left>
      <right style="thin">
        <color indexed="64"/>
      </right>
      <top style="medium">
        <color rgb="FF92D050"/>
      </top>
      <bottom style="medium">
        <color rgb="FF92D050"/>
      </bottom>
      <diagonal/>
    </border>
    <border>
      <left style="thin">
        <color indexed="64"/>
      </left>
      <right style="medium">
        <color rgb="FF92D050"/>
      </right>
      <top style="medium">
        <color rgb="FF92D050"/>
      </top>
      <bottom style="medium">
        <color rgb="FF92D050"/>
      </bottom>
      <diagonal/>
    </border>
    <border>
      <left style="medium">
        <color theme="1"/>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theme="0" tint="-0.499984740745262"/>
      </top>
      <bottom style="thin">
        <color theme="0" tint="-0.499984740745262"/>
      </bottom>
      <diagonal/>
    </border>
    <border>
      <left style="medium">
        <color theme="9"/>
      </left>
      <right style="medium">
        <color theme="9"/>
      </right>
      <top style="medium">
        <color theme="9"/>
      </top>
      <bottom style="medium">
        <color theme="9"/>
      </bottom>
      <diagonal/>
    </border>
    <border>
      <left style="thin">
        <color theme="0" tint="-0.499984740745262"/>
      </left>
      <right style="thin">
        <color theme="0" tint="-0.499984740745262"/>
      </right>
      <top style="thin">
        <color theme="0" tint="-0.499984740745262"/>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medium">
        <color rgb="FF92D050"/>
      </left>
      <right/>
      <top style="medium">
        <color rgb="FF92D050"/>
      </top>
      <bottom style="medium">
        <color rgb="FF92D050"/>
      </bottom>
      <diagonal/>
    </border>
    <border>
      <left/>
      <right/>
      <top style="medium">
        <color rgb="FF92D050"/>
      </top>
      <bottom style="medium">
        <color rgb="FF92D050"/>
      </bottom>
      <diagonal/>
    </border>
    <border>
      <left/>
      <right style="medium">
        <color rgb="FF92D050"/>
      </right>
      <top style="medium">
        <color rgb="FF92D050"/>
      </top>
      <bottom style="medium">
        <color rgb="FF92D050"/>
      </bottom>
      <diagonal/>
    </border>
    <border>
      <left/>
      <right/>
      <top/>
      <bottom style="thin">
        <color theme="0" tint="-0.499984740745262"/>
      </bottom>
      <diagonal/>
    </border>
    <border>
      <left/>
      <right/>
      <top style="thin">
        <color theme="5"/>
      </top>
      <bottom/>
      <diagonal/>
    </border>
    <border>
      <left/>
      <right/>
      <top style="thin">
        <color theme="5"/>
      </top>
      <bottom style="thin">
        <color theme="5"/>
      </bottom>
      <diagonal/>
    </border>
    <border>
      <left style="thin">
        <color theme="5"/>
      </left>
      <right/>
      <top style="thin">
        <color theme="5"/>
      </top>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19" fillId="0" borderId="0"/>
    <xf numFmtId="0" fontId="38" fillId="0" borderId="0"/>
    <xf numFmtId="0" fontId="9" fillId="0" borderId="0"/>
    <xf numFmtId="0" fontId="144" fillId="0" borderId="0" applyNumberFormat="0" applyFill="0" applyBorder="0" applyAlignment="0" applyProtection="0"/>
    <xf numFmtId="0" fontId="3" fillId="0" borderId="0"/>
    <xf numFmtId="0" fontId="3" fillId="0" borderId="0"/>
    <xf numFmtId="0" fontId="78" fillId="0" borderId="0"/>
    <xf numFmtId="0" fontId="78" fillId="0" borderId="0"/>
    <xf numFmtId="0" fontId="1" fillId="0" borderId="0"/>
  </cellStyleXfs>
  <cellXfs count="1003">
    <xf numFmtId="0" fontId="0" fillId="0" borderId="0" xfId="0"/>
    <xf numFmtId="0" fontId="12" fillId="0" borderId="0" xfId="0" applyFont="1"/>
    <xf numFmtId="164" fontId="13" fillId="0" borderId="0" xfId="0" applyNumberFormat="1" applyFont="1"/>
    <xf numFmtId="0" fontId="11" fillId="0" borderId="0" xfId="0" applyFont="1"/>
    <xf numFmtId="0" fontId="14" fillId="0" borderId="0" xfId="0" applyFont="1"/>
    <xf numFmtId="0" fontId="15" fillId="0" borderId="0" xfId="0" applyFont="1" applyAlignment="1">
      <alignment wrapText="1"/>
    </xf>
    <xf numFmtId="0" fontId="15" fillId="0" borderId="0" xfId="0" applyFont="1" applyAlignment="1">
      <alignment horizontal="center" vertical="center" wrapText="1"/>
    </xf>
    <xf numFmtId="165" fontId="15" fillId="0" borderId="0" xfId="0" applyNumberFormat="1" applyFont="1" applyAlignment="1">
      <alignment wrapText="1"/>
    </xf>
    <xf numFmtId="166" fontId="11" fillId="0" borderId="0" xfId="0" applyNumberFormat="1" applyFont="1"/>
    <xf numFmtId="166" fontId="12" fillId="0" borderId="0" xfId="0" applyNumberFormat="1" applyFont="1"/>
    <xf numFmtId="166" fontId="11" fillId="0" borderId="0" xfId="0" applyNumberFormat="1" applyFont="1" applyAlignment="1">
      <alignment vertical="center"/>
    </xf>
    <xf numFmtId="0" fontId="18" fillId="0" borderId="0" xfId="0" applyFont="1"/>
    <xf numFmtId="0" fontId="19" fillId="0" borderId="0" xfId="1"/>
    <xf numFmtId="0" fontId="23" fillId="0" borderId="0" xfId="0" applyFont="1"/>
    <xf numFmtId="0" fontId="22" fillId="0" borderId="0" xfId="1" applyFont="1"/>
    <xf numFmtId="0" fontId="24" fillId="0" borderId="0" xfId="0" applyFont="1" applyAlignment="1">
      <alignment wrapText="1"/>
    </xf>
    <xf numFmtId="0" fontId="24" fillId="0" borderId="0" xfId="0" applyFont="1" applyAlignment="1">
      <alignment horizontal="center" vertical="center" wrapText="1"/>
    </xf>
    <xf numFmtId="165" fontId="24" fillId="0" borderId="0" xfId="0" applyNumberFormat="1" applyFont="1" applyAlignment="1">
      <alignment wrapText="1"/>
    </xf>
    <xf numFmtId="0" fontId="25" fillId="0" borderId="0" xfId="0" applyFont="1"/>
    <xf numFmtId="164" fontId="21" fillId="0" borderId="0" xfId="0" applyNumberFormat="1" applyFont="1"/>
    <xf numFmtId="164" fontId="21" fillId="0" borderId="0" xfId="0" applyNumberFormat="1" applyFont="1" applyAlignment="1">
      <alignment vertical="top"/>
    </xf>
    <xf numFmtId="0" fontId="21" fillId="0" borderId="0" xfId="0" applyFont="1"/>
    <xf numFmtId="166" fontId="23" fillId="0" borderId="0" xfId="0" applyNumberFormat="1" applyFont="1"/>
    <xf numFmtId="2" fontId="24" fillId="0" borderId="0" xfId="0" applyNumberFormat="1" applyFont="1" applyAlignment="1">
      <alignment wrapText="1"/>
    </xf>
    <xf numFmtId="164" fontId="26" fillId="0" borderId="0" xfId="0" applyNumberFormat="1" applyFont="1"/>
    <xf numFmtId="164" fontId="27" fillId="0" borderId="0" xfId="0" applyNumberFormat="1" applyFont="1" applyAlignment="1">
      <alignment wrapText="1"/>
    </xf>
    <xf numFmtId="164" fontId="27" fillId="0" borderId="0" xfId="0" applyNumberFormat="1" applyFont="1" applyAlignment="1">
      <alignment horizontal="center" vertical="center" wrapText="1"/>
    </xf>
    <xf numFmtId="165" fontId="21" fillId="0" borderId="0" xfId="0" applyNumberFormat="1" applyFont="1" applyAlignment="1">
      <alignment vertical="center" wrapText="1"/>
    </xf>
    <xf numFmtId="164" fontId="28" fillId="0" borderId="0" xfId="0" applyNumberFormat="1" applyFont="1"/>
    <xf numFmtId="0" fontId="30" fillId="0" borderId="0" xfId="0" applyFont="1" applyAlignment="1">
      <alignment wrapText="1"/>
    </xf>
    <xf numFmtId="0" fontId="30" fillId="0" borderId="0" xfId="0" applyFont="1" applyAlignment="1">
      <alignment horizontal="center" vertical="center" wrapText="1"/>
    </xf>
    <xf numFmtId="165" fontId="30" fillId="0" borderId="0" xfId="0" applyNumberFormat="1" applyFont="1" applyAlignment="1">
      <alignment wrapText="1"/>
    </xf>
    <xf numFmtId="0" fontId="29" fillId="0" borderId="0" xfId="0" applyFont="1"/>
    <xf numFmtId="0" fontId="31" fillId="0" borderId="0" xfId="0" applyFont="1"/>
    <xf numFmtId="166" fontId="32" fillId="0" borderId="0" xfId="0" applyNumberFormat="1" applyFont="1" applyAlignment="1">
      <alignment horizontal="right"/>
    </xf>
    <xf numFmtId="164" fontId="21" fillId="0" borderId="0" xfId="0" applyNumberFormat="1" applyFont="1" applyAlignment="1">
      <alignment vertical="center"/>
    </xf>
    <xf numFmtId="166" fontId="21" fillId="0" borderId="0" xfId="0" applyNumberFormat="1" applyFont="1" applyAlignment="1">
      <alignment vertical="center"/>
    </xf>
    <xf numFmtId="0" fontId="24" fillId="0" borderId="2" xfId="0" applyFont="1" applyBorder="1" applyAlignment="1">
      <alignment horizontal="center" vertical="center" wrapText="1"/>
    </xf>
    <xf numFmtId="165" fontId="24" fillId="0" borderId="2" xfId="0" applyNumberFormat="1" applyFont="1" applyBorder="1" applyAlignment="1">
      <alignment horizontal="center" vertical="center" wrapText="1"/>
    </xf>
    <xf numFmtId="0" fontId="21" fillId="0" borderId="0" xfId="0" applyFont="1" applyAlignment="1">
      <alignment vertical="center"/>
    </xf>
    <xf numFmtId="164" fontId="33" fillId="0" borderId="16" xfId="0" applyNumberFormat="1" applyFont="1" applyBorder="1" applyAlignment="1">
      <alignment horizontal="center" vertical="center"/>
    </xf>
    <xf numFmtId="164" fontId="33" fillId="0" borderId="17" xfId="0" applyNumberFormat="1" applyFont="1" applyBorder="1" applyAlignment="1">
      <alignment horizontal="center" vertical="center"/>
    </xf>
    <xf numFmtId="164" fontId="34" fillId="0" borderId="0" xfId="0" applyNumberFormat="1" applyFont="1" applyAlignment="1">
      <alignment vertical="center" wrapText="1"/>
    </xf>
    <xf numFmtId="164" fontId="34" fillId="0" borderId="0" xfId="0" applyNumberFormat="1" applyFont="1" applyAlignment="1">
      <alignment horizontal="center" vertical="center" wrapText="1"/>
    </xf>
    <xf numFmtId="165" fontId="34" fillId="0" borderId="0" xfId="0" applyNumberFormat="1" applyFont="1" applyAlignment="1">
      <alignment vertical="center" wrapText="1"/>
    </xf>
    <xf numFmtId="164" fontId="35" fillId="0" borderId="0" xfId="0" applyNumberFormat="1" applyFont="1" applyAlignment="1">
      <alignment vertical="center" wrapText="1"/>
    </xf>
    <xf numFmtId="0" fontId="36" fillId="0" borderId="0" xfId="0" applyFont="1"/>
    <xf numFmtId="164" fontId="21" fillId="0" borderId="0" xfId="0" applyNumberFormat="1" applyFont="1" applyAlignment="1">
      <alignment vertical="center" wrapText="1"/>
    </xf>
    <xf numFmtId="164" fontId="21" fillId="0" borderId="0" xfId="0" applyNumberFormat="1" applyFont="1" applyAlignment="1">
      <alignment horizontal="center" vertical="center" wrapText="1"/>
    </xf>
    <xf numFmtId="164" fontId="33" fillId="0" borderId="16" xfId="0" applyNumberFormat="1" applyFont="1" applyBorder="1" applyAlignment="1">
      <alignment vertical="center"/>
    </xf>
    <xf numFmtId="167" fontId="33" fillId="0" borderId="17" xfId="0" applyNumberFormat="1" applyFont="1" applyBorder="1" applyAlignment="1">
      <alignment vertical="center"/>
    </xf>
    <xf numFmtId="0" fontId="37" fillId="0" borderId="18" xfId="0" applyFont="1" applyBorder="1" applyAlignment="1">
      <alignment horizontal="left" vertical="center" wrapText="1"/>
    </xf>
    <xf numFmtId="0" fontId="10" fillId="16" borderId="6" xfId="0" applyFont="1" applyFill="1" applyBorder="1"/>
    <xf numFmtId="0" fontId="10" fillId="0" borderId="0" xfId="0" applyFont="1"/>
    <xf numFmtId="0" fontId="46" fillId="0" borderId="0" xfId="0" applyFont="1" applyAlignment="1">
      <alignment vertical="center"/>
    </xf>
    <xf numFmtId="0" fontId="47" fillId="0" borderId="0" xfId="0" applyFont="1"/>
    <xf numFmtId="0" fontId="46" fillId="0" borderId="0" xfId="0" applyFont="1" applyAlignment="1">
      <alignment horizontal="center" vertical="center"/>
    </xf>
    <xf numFmtId="0" fontId="10" fillId="0" borderId="0" xfId="0" applyFont="1" applyAlignment="1">
      <alignment horizontal="center" vertical="center"/>
    </xf>
    <xf numFmtId="0" fontId="47" fillId="0" borderId="0" xfId="0" applyFont="1" applyAlignment="1">
      <alignment horizontal="right" vertical="center"/>
    </xf>
    <xf numFmtId="0" fontId="47" fillId="0" borderId="0" xfId="0" applyFont="1" applyAlignment="1">
      <alignment horizontal="center" vertical="center"/>
    </xf>
    <xf numFmtId="0" fontId="41" fillId="0" borderId="0" xfId="0" applyFont="1" applyAlignment="1">
      <alignment horizontal="center" vertical="center"/>
    </xf>
    <xf numFmtId="0" fontId="44" fillId="0" borderId="1" xfId="0" applyFont="1" applyBorder="1" applyAlignment="1">
      <alignment horizontal="center" vertical="center"/>
    </xf>
    <xf numFmtId="0" fontId="46" fillId="0" borderId="0" xfId="0" applyFont="1" applyAlignment="1">
      <alignment horizontal="center"/>
    </xf>
    <xf numFmtId="0" fontId="48" fillId="0" borderId="0" xfId="0" applyFont="1"/>
    <xf numFmtId="164" fontId="48" fillId="0" borderId="0" xfId="0" applyNumberFormat="1" applyFont="1"/>
    <xf numFmtId="166" fontId="48" fillId="0" borderId="0" xfId="0" applyNumberFormat="1" applyFont="1" applyAlignment="1">
      <alignment vertical="center"/>
    </xf>
    <xf numFmtId="0" fontId="49" fillId="0" borderId="0" xfId="0" applyFont="1" applyAlignment="1">
      <alignment wrapText="1"/>
    </xf>
    <xf numFmtId="0" fontId="49" fillId="0" borderId="0" xfId="0" applyFont="1" applyAlignment="1">
      <alignment horizontal="center" vertical="center" wrapText="1"/>
    </xf>
    <xf numFmtId="165" fontId="49" fillId="0" borderId="0" xfId="0" applyNumberFormat="1" applyFont="1" applyAlignment="1">
      <alignment wrapText="1"/>
    </xf>
    <xf numFmtId="0" fontId="50" fillId="4" borderId="0" xfId="0" applyFont="1" applyFill="1" applyAlignment="1">
      <alignment horizontal="right" vertical="center"/>
    </xf>
    <xf numFmtId="164" fontId="54" fillId="13" borderId="1" xfId="0" applyNumberFormat="1" applyFont="1" applyFill="1" applyBorder="1" applyAlignment="1">
      <alignment horizontal="center"/>
    </xf>
    <xf numFmtId="164" fontId="54" fillId="4" borderId="1" xfId="0" applyNumberFormat="1" applyFont="1" applyFill="1" applyBorder="1" applyAlignment="1">
      <alignment horizontal="center"/>
    </xf>
    <xf numFmtId="164" fontId="54" fillId="14" borderId="1" xfId="0" applyNumberFormat="1" applyFont="1" applyFill="1" applyBorder="1" applyAlignment="1">
      <alignment horizontal="center"/>
    </xf>
    <xf numFmtId="164" fontId="54" fillId="5" borderId="1" xfId="0" applyNumberFormat="1" applyFont="1" applyFill="1" applyBorder="1" applyAlignment="1">
      <alignment horizontal="center"/>
    </xf>
    <xf numFmtId="164" fontId="40" fillId="3" borderId="1" xfId="0" applyNumberFormat="1" applyFont="1" applyFill="1" applyBorder="1" applyAlignment="1">
      <alignment horizontal="center"/>
    </xf>
    <xf numFmtId="0" fontId="55" fillId="0" borderId="1" xfId="0" applyFont="1" applyBorder="1" applyAlignment="1">
      <alignment vertical="center"/>
    </xf>
    <xf numFmtId="0" fontId="55" fillId="0" borderId="1" xfId="0" applyFont="1" applyBorder="1" applyAlignment="1">
      <alignment horizontal="center" vertical="center" wrapText="1"/>
    </xf>
    <xf numFmtId="0" fontId="57" fillId="0" borderId="0" xfId="0" applyFont="1" applyAlignment="1">
      <alignment vertical="center"/>
    </xf>
    <xf numFmtId="0" fontId="58" fillId="0" borderId="0" xfId="0" applyFont="1" applyAlignment="1">
      <alignment vertical="center"/>
    </xf>
    <xf numFmtId="0" fontId="52" fillId="0" borderId="0" xfId="0" applyFont="1" applyAlignment="1">
      <alignment wrapText="1"/>
    </xf>
    <xf numFmtId="0" fontId="52" fillId="4" borderId="0" xfId="0" applyFont="1" applyFill="1"/>
    <xf numFmtId="0" fontId="52" fillId="0" borderId="0" xfId="0" applyFont="1" applyAlignment="1">
      <alignment horizontal="center" vertical="center" wrapText="1"/>
    </xf>
    <xf numFmtId="165" fontId="52" fillId="0" borderId="0" xfId="0" applyNumberFormat="1" applyFont="1" applyAlignment="1">
      <alignment wrapText="1"/>
    </xf>
    <xf numFmtId="0" fontId="52" fillId="0" borderId="0" xfId="1" applyFont="1"/>
    <xf numFmtId="0" fontId="48" fillId="0" borderId="0" xfId="0" applyFont="1" applyAlignment="1">
      <alignment vertical="center" wrapText="1"/>
    </xf>
    <xf numFmtId="0" fontId="48" fillId="0" borderId="0" xfId="0" applyFont="1" applyAlignment="1">
      <alignment horizontal="center" vertical="center" wrapText="1"/>
    </xf>
    <xf numFmtId="0" fontId="50" fillId="4" borderId="0" xfId="0" applyFont="1" applyFill="1"/>
    <xf numFmtId="0" fontId="50" fillId="0" borderId="0" xfId="0" applyFont="1" applyAlignment="1">
      <alignment wrapText="1"/>
    </xf>
    <xf numFmtId="0" fontId="50" fillId="0" borderId="0" xfId="0" applyFont="1" applyAlignment="1">
      <alignment horizontal="center" vertical="center" wrapText="1"/>
    </xf>
    <xf numFmtId="165" fontId="50" fillId="0" borderId="0" xfId="0" applyNumberFormat="1" applyFont="1" applyAlignment="1">
      <alignment wrapText="1"/>
    </xf>
    <xf numFmtId="0" fontId="50" fillId="0" borderId="0" xfId="1" applyFont="1"/>
    <xf numFmtId="0" fontId="52" fillId="0" borderId="0" xfId="0" applyFont="1"/>
    <xf numFmtId="0" fontId="70" fillId="0" borderId="0" xfId="0" applyFont="1" applyAlignment="1">
      <alignment wrapText="1"/>
    </xf>
    <xf numFmtId="0" fontId="71" fillId="4" borderId="0" xfId="0" applyFont="1" applyFill="1" applyAlignment="1">
      <alignment horizontal="right" vertical="center"/>
    </xf>
    <xf numFmtId="0" fontId="41" fillId="4" borderId="0" xfId="0" applyFont="1" applyFill="1"/>
    <xf numFmtId="0" fontId="70" fillId="0" borderId="0" xfId="0" applyFont="1" applyAlignment="1">
      <alignment horizontal="center" vertical="center" wrapText="1"/>
    </xf>
    <xf numFmtId="165" fontId="70" fillId="0" borderId="0" xfId="0" applyNumberFormat="1" applyFont="1" applyAlignment="1">
      <alignment wrapText="1"/>
    </xf>
    <xf numFmtId="0" fontId="41" fillId="0" borderId="0" xfId="1" applyFont="1"/>
    <xf numFmtId="0" fontId="39" fillId="0" borderId="0" xfId="0" applyFont="1"/>
    <xf numFmtId="0" fontId="73" fillId="0" borderId="0" xfId="0" applyFont="1"/>
    <xf numFmtId="0" fontId="72" fillId="0" borderId="0" xfId="0" applyFont="1"/>
    <xf numFmtId="0" fontId="76" fillId="0" borderId="0" xfId="0" applyFont="1"/>
    <xf numFmtId="0" fontId="79" fillId="0" borderId="0" xfId="3" applyFont="1" applyAlignment="1">
      <alignment vertical="center"/>
    </xf>
    <xf numFmtId="0" fontId="80" fillId="0" borderId="0" xfId="3" applyFont="1" applyAlignment="1">
      <alignment vertical="center"/>
    </xf>
    <xf numFmtId="0" fontId="67" fillId="19" borderId="0" xfId="0" applyFont="1" applyFill="1"/>
    <xf numFmtId="0" fontId="74" fillId="0" borderId="0" xfId="0" applyFont="1"/>
    <xf numFmtId="0" fontId="62" fillId="0" borderId="0" xfId="0" applyFont="1"/>
    <xf numFmtId="0" fontId="75" fillId="0" borderId="0" xfId="0" applyFont="1" applyAlignment="1">
      <alignment horizontal="left"/>
    </xf>
    <xf numFmtId="0" fontId="67" fillId="11" borderId="0" xfId="0" applyFont="1" applyFill="1"/>
    <xf numFmtId="0" fontId="67" fillId="4" borderId="0" xfId="0" applyFont="1" applyFill="1"/>
    <xf numFmtId="0" fontId="63" fillId="0" borderId="0" xfId="0" applyFont="1"/>
    <xf numFmtId="0" fontId="62" fillId="0" borderId="0" xfId="3" applyFont="1"/>
    <xf numFmtId="0" fontId="82" fillId="0" borderId="0" xfId="0" applyFont="1"/>
    <xf numFmtId="0" fontId="0" fillId="0" borderId="0" xfId="0" applyAlignment="1">
      <alignment horizontal="center"/>
    </xf>
    <xf numFmtId="0" fontId="84" fillId="0" borderId="0" xfId="0" applyFont="1"/>
    <xf numFmtId="49" fontId="62" fillId="0" borderId="0" xfId="0" applyNumberFormat="1" applyFont="1" applyAlignment="1">
      <alignment horizontal="center"/>
    </xf>
    <xf numFmtId="49" fontId="73" fillId="0" borderId="0" xfId="0" applyNumberFormat="1" applyFont="1" applyAlignment="1">
      <alignment horizontal="center"/>
    </xf>
    <xf numFmtId="49" fontId="0" fillId="0" borderId="0" xfId="0" applyNumberFormat="1" applyAlignment="1">
      <alignment horizontal="center"/>
    </xf>
    <xf numFmtId="0" fontId="9" fillId="0" borderId="0" xfId="0" applyFont="1"/>
    <xf numFmtId="0" fontId="9" fillId="0" borderId="1" xfId="0" applyFont="1" applyBorder="1"/>
    <xf numFmtId="0" fontId="73" fillId="0" borderId="0" xfId="1" applyFont="1"/>
    <xf numFmtId="0" fontId="62" fillId="0" borderId="0" xfId="1" applyFont="1"/>
    <xf numFmtId="0" fontId="58" fillId="0" borderId="0" xfId="1" applyFont="1"/>
    <xf numFmtId="0" fontId="66" fillId="0" borderId="1" xfId="0" applyFont="1" applyBorder="1"/>
    <xf numFmtId="0" fontId="89" fillId="0" borderId="1" xfId="0" applyFont="1" applyBorder="1"/>
    <xf numFmtId="0" fontId="90" fillId="0" borderId="0" xfId="0" applyFont="1"/>
    <xf numFmtId="0" fontId="91" fillId="0" borderId="0" xfId="0" applyFont="1" applyAlignment="1">
      <alignment vertical="center"/>
    </xf>
    <xf numFmtId="0" fontId="67" fillId="0" borderId="0" xfId="0" applyFont="1"/>
    <xf numFmtId="0" fontId="91" fillId="0" borderId="0" xfId="0" applyFont="1"/>
    <xf numFmtId="0" fontId="66" fillId="13" borderId="1" xfId="0" applyFont="1" applyFill="1" applyBorder="1" applyAlignment="1">
      <alignment horizontal="left"/>
    </xf>
    <xf numFmtId="0" fontId="92" fillId="0" borderId="0" xfId="0" applyFont="1"/>
    <xf numFmtId="0" fontId="92" fillId="0" borderId="0" xfId="1" applyFont="1"/>
    <xf numFmtId="0" fontId="93" fillId="0" borderId="0" xfId="0" applyFont="1"/>
    <xf numFmtId="0" fontId="94" fillId="0" borderId="0" xfId="0" applyFont="1" applyAlignment="1">
      <alignment horizontal="center" vertical="center"/>
    </xf>
    <xf numFmtId="0" fontId="91" fillId="0" borderId="0" xfId="0" applyFont="1" applyAlignment="1">
      <alignment horizontal="center" vertical="center"/>
    </xf>
    <xf numFmtId="0" fontId="95" fillId="0" borderId="0" xfId="0" applyFont="1" applyAlignment="1">
      <alignment horizontal="left"/>
    </xf>
    <xf numFmtId="0" fontId="95" fillId="0" borderId="0" xfId="0" applyFont="1"/>
    <xf numFmtId="0" fontId="95" fillId="0" borderId="0" xfId="1" applyFont="1"/>
    <xf numFmtId="0" fontId="9" fillId="0" borderId="0" xfId="1" applyFont="1"/>
    <xf numFmtId="0" fontId="0" fillId="0" borderId="0" xfId="0" applyAlignment="1">
      <alignment horizontal="center" vertical="center"/>
    </xf>
    <xf numFmtId="164" fontId="48" fillId="0" borderId="0" xfId="0" applyNumberFormat="1" applyFont="1" applyAlignment="1">
      <alignment vertical="top"/>
    </xf>
    <xf numFmtId="166" fontId="0" fillId="0" borderId="0" xfId="0" applyNumberFormat="1"/>
    <xf numFmtId="0" fontId="44" fillId="0" borderId="0" xfId="0" applyFont="1" applyAlignment="1">
      <alignment horizontal="center" vertical="center" wrapText="1"/>
    </xf>
    <xf numFmtId="2" fontId="49" fillId="0" borderId="0" xfId="0" applyNumberFormat="1" applyFont="1" applyAlignment="1">
      <alignment wrapText="1"/>
    </xf>
    <xf numFmtId="164" fontId="96" fillId="0" borderId="0" xfId="0" applyNumberFormat="1" applyFont="1"/>
    <xf numFmtId="164" fontId="97" fillId="0" borderId="0" xfId="0" applyNumberFormat="1" applyFont="1" applyAlignment="1">
      <alignment wrapText="1"/>
    </xf>
    <xf numFmtId="164" fontId="97" fillId="0" borderId="0" xfId="0" applyNumberFormat="1" applyFont="1" applyAlignment="1">
      <alignment horizontal="center" vertical="center" wrapText="1"/>
    </xf>
    <xf numFmtId="165" fontId="48" fillId="0" borderId="0" xfId="0" applyNumberFormat="1" applyFont="1" applyAlignment="1">
      <alignment vertical="center" wrapText="1"/>
    </xf>
    <xf numFmtId="164" fontId="98" fillId="0" borderId="0" xfId="0" applyNumberFormat="1" applyFont="1"/>
    <xf numFmtId="0" fontId="55" fillId="0" borderId="0" xfId="0" applyFont="1"/>
    <xf numFmtId="0" fontId="99" fillId="0" borderId="0" xfId="0" applyFont="1" applyAlignment="1">
      <alignment wrapText="1"/>
    </xf>
    <xf numFmtId="0" fontId="99" fillId="0" borderId="0" xfId="0" applyFont="1" applyAlignment="1">
      <alignment horizontal="center" vertical="center" wrapText="1"/>
    </xf>
    <xf numFmtId="165" fontId="99" fillId="0" borderId="0" xfId="0" applyNumberFormat="1" applyFont="1" applyAlignment="1">
      <alignment wrapText="1"/>
    </xf>
    <xf numFmtId="0" fontId="49" fillId="0" borderId="2" xfId="0" applyFont="1" applyBorder="1" applyAlignment="1">
      <alignment horizontal="center" vertical="center" wrapText="1"/>
    </xf>
    <xf numFmtId="165" fontId="49" fillId="0" borderId="2" xfId="0" applyNumberFormat="1" applyFont="1" applyBorder="1" applyAlignment="1">
      <alignment horizontal="center" vertical="center" wrapText="1"/>
    </xf>
    <xf numFmtId="0" fontId="48" fillId="9" borderId="29" xfId="0" applyFont="1" applyFill="1" applyBorder="1" applyAlignment="1">
      <alignment horizontal="center" vertical="center" wrapText="1"/>
    </xf>
    <xf numFmtId="0" fontId="48" fillId="9" borderId="32" xfId="0" applyFont="1" applyFill="1" applyBorder="1" applyAlignment="1">
      <alignment horizontal="center" vertical="center" wrapText="1"/>
    </xf>
    <xf numFmtId="0" fontId="48" fillId="8" borderId="32" xfId="0" applyFont="1" applyFill="1" applyBorder="1" applyAlignment="1">
      <alignment horizontal="center" vertical="center"/>
    </xf>
    <xf numFmtId="164" fontId="100" fillId="0" borderId="33" xfId="0" applyNumberFormat="1" applyFont="1" applyBorder="1" applyAlignment="1">
      <alignment horizontal="center" vertical="center"/>
    </xf>
    <xf numFmtId="164" fontId="100" fillId="0" borderId="34" xfId="0" applyNumberFormat="1" applyFont="1" applyBorder="1" applyAlignment="1">
      <alignment horizontal="center" vertical="center"/>
    </xf>
    <xf numFmtId="164" fontId="101" fillId="0" borderId="0" xfId="0" applyNumberFormat="1" applyFont="1" applyAlignment="1">
      <alignment vertical="center" wrapText="1"/>
    </xf>
    <xf numFmtId="164" fontId="101" fillId="0" borderId="0" xfId="0" applyNumberFormat="1" applyFont="1" applyAlignment="1">
      <alignment horizontal="center" vertical="center" wrapText="1"/>
    </xf>
    <xf numFmtId="165" fontId="101" fillId="0" borderId="0" xfId="0" applyNumberFormat="1" applyFont="1" applyAlignment="1">
      <alignment vertical="center" wrapText="1"/>
    </xf>
    <xf numFmtId="0" fontId="48" fillId="0" borderId="30" xfId="0" applyFont="1" applyBorder="1" applyAlignment="1">
      <alignment horizontal="center" vertical="center" wrapText="1"/>
    </xf>
    <xf numFmtId="0" fontId="48" fillId="0" borderId="0" xfId="0" applyFont="1" applyAlignment="1">
      <alignment horizontal="center" vertical="center"/>
    </xf>
    <xf numFmtId="164" fontId="48" fillId="0" borderId="0" xfId="0" applyNumberFormat="1" applyFont="1" applyAlignment="1">
      <alignment vertical="center" wrapText="1"/>
    </xf>
    <xf numFmtId="164" fontId="48" fillId="0" borderId="0" xfId="0" applyNumberFormat="1" applyFont="1" applyAlignment="1">
      <alignment horizontal="center" vertical="center" wrapText="1"/>
    </xf>
    <xf numFmtId="0" fontId="48" fillId="9" borderId="38" xfId="0" applyFont="1" applyFill="1" applyBorder="1" applyAlignment="1">
      <alignment horizontal="center" vertical="center" wrapText="1"/>
    </xf>
    <xf numFmtId="0" fontId="48" fillId="9" borderId="39" xfId="0" applyFont="1" applyFill="1" applyBorder="1" applyAlignment="1">
      <alignment horizontal="center" vertical="center" wrapText="1"/>
    </xf>
    <xf numFmtId="0" fontId="48" fillId="8" borderId="39" xfId="0" applyFont="1" applyFill="1" applyBorder="1" applyAlignment="1">
      <alignment horizontal="center" vertical="center"/>
    </xf>
    <xf numFmtId="164" fontId="100" fillId="0" borderId="36" xfId="0" applyNumberFormat="1" applyFont="1" applyBorder="1" applyAlignment="1">
      <alignment horizontal="center" vertical="center"/>
    </xf>
    <xf numFmtId="164" fontId="100" fillId="0" borderId="37" xfId="0" applyNumberFormat="1" applyFont="1" applyBorder="1" applyAlignment="1">
      <alignment horizontal="center" vertical="center"/>
    </xf>
    <xf numFmtId="0" fontId="48" fillId="0" borderId="29"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2" xfId="0" applyFont="1" applyBorder="1" applyAlignment="1">
      <alignment horizontal="center" vertical="center"/>
    </xf>
    <xf numFmtId="164" fontId="102" fillId="0" borderId="0" xfId="0" applyNumberFormat="1" applyFont="1" applyAlignment="1">
      <alignment vertical="center" wrapText="1"/>
    </xf>
    <xf numFmtId="0" fontId="48" fillId="0" borderId="31" xfId="0" applyFont="1" applyBorder="1" applyAlignment="1">
      <alignment horizontal="center" vertical="center" wrapText="1"/>
    </xf>
    <xf numFmtId="0" fontId="48" fillId="0" borderId="35" xfId="0" applyFont="1" applyBorder="1" applyAlignment="1">
      <alignment horizontal="center" vertical="center" wrapText="1"/>
    </xf>
    <xf numFmtId="0" fontId="48" fillId="0" borderId="35" xfId="0" applyFont="1" applyBorder="1" applyAlignment="1">
      <alignment horizontal="center" vertical="center"/>
    </xf>
    <xf numFmtId="0" fontId="103" fillId="0" borderId="0" xfId="0" applyFont="1"/>
    <xf numFmtId="169" fontId="100" fillId="0" borderId="33" xfId="0" applyNumberFormat="1" applyFont="1" applyBorder="1" applyAlignment="1">
      <alignment horizontal="center" vertical="center"/>
    </xf>
    <xf numFmtId="0" fontId="48" fillId="0" borderId="35" xfId="0" applyFont="1" applyBorder="1" applyAlignment="1">
      <alignment vertical="center"/>
    </xf>
    <xf numFmtId="169" fontId="100" fillId="0" borderId="37" xfId="0" applyNumberFormat="1" applyFont="1" applyBorder="1" applyAlignment="1">
      <alignment horizontal="center" vertical="center"/>
    </xf>
    <xf numFmtId="0" fontId="48" fillId="8" borderId="32" xfId="0" applyFont="1" applyFill="1" applyBorder="1" applyAlignment="1">
      <alignment vertical="center"/>
    </xf>
    <xf numFmtId="169" fontId="100" fillId="15" borderId="33" xfId="0" applyNumberFormat="1" applyFont="1" applyFill="1" applyBorder="1" applyAlignment="1">
      <alignment horizontal="center" vertical="center"/>
    </xf>
    <xf numFmtId="169" fontId="100" fillId="15" borderId="50" xfId="0" applyNumberFormat="1" applyFont="1" applyFill="1" applyBorder="1" applyAlignment="1">
      <alignment horizontal="center" vertical="center"/>
    </xf>
    <xf numFmtId="0" fontId="48" fillId="0" borderId="0" xfId="0" applyFont="1" applyAlignment="1">
      <alignment vertical="center"/>
    </xf>
    <xf numFmtId="169" fontId="100" fillId="0" borderId="50" xfId="0" applyNumberFormat="1" applyFont="1" applyBorder="1" applyAlignment="1">
      <alignment horizontal="center" vertical="center"/>
    </xf>
    <xf numFmtId="0" fontId="48" fillId="8" borderId="39" xfId="0" applyFont="1" applyFill="1" applyBorder="1" applyAlignment="1">
      <alignment vertical="center"/>
    </xf>
    <xf numFmtId="169" fontId="100" fillId="15" borderId="51" xfId="0" applyNumberFormat="1" applyFont="1" applyFill="1" applyBorder="1" applyAlignment="1">
      <alignment horizontal="center" vertical="center"/>
    </xf>
    <xf numFmtId="169" fontId="100" fillId="15" borderId="52" xfId="0" applyNumberFormat="1" applyFont="1" applyFill="1" applyBorder="1" applyAlignment="1">
      <alignment horizontal="center" vertical="center"/>
    </xf>
    <xf numFmtId="166" fontId="48" fillId="0" borderId="0" xfId="0" applyNumberFormat="1" applyFont="1"/>
    <xf numFmtId="0" fontId="56" fillId="0" borderId="0" xfId="0" applyFont="1"/>
    <xf numFmtId="166" fontId="104" fillId="0" borderId="0" xfId="0" applyNumberFormat="1" applyFont="1" applyAlignment="1">
      <alignment horizontal="right"/>
    </xf>
    <xf numFmtId="0" fontId="105" fillId="0" borderId="0" xfId="0" applyFont="1" applyAlignment="1">
      <alignment vertical="center"/>
    </xf>
    <xf numFmtId="164" fontId="48" fillId="0" borderId="0" xfId="0" applyNumberFormat="1" applyFont="1" applyAlignment="1">
      <alignment vertical="center"/>
    </xf>
    <xf numFmtId="164" fontId="100" fillId="0" borderId="16" xfId="0" applyNumberFormat="1" applyFont="1" applyBorder="1" applyAlignment="1">
      <alignment horizontal="center" vertical="center"/>
    </xf>
    <xf numFmtId="164" fontId="100" fillId="0" borderId="17" xfId="0" applyNumberFormat="1" applyFont="1" applyBorder="1" applyAlignment="1">
      <alignment horizontal="center" vertical="center"/>
    </xf>
    <xf numFmtId="164" fontId="100" fillId="0" borderId="16" xfId="0" applyNumberFormat="1" applyFont="1" applyBorder="1" applyAlignment="1">
      <alignment vertical="center"/>
    </xf>
    <xf numFmtId="167" fontId="100" fillId="0" borderId="17" xfId="0" applyNumberFormat="1" applyFont="1" applyBorder="1" applyAlignment="1">
      <alignment vertical="center"/>
    </xf>
    <xf numFmtId="0" fontId="9" fillId="16" borderId="6" xfId="0" applyFont="1" applyFill="1" applyBorder="1"/>
    <xf numFmtId="0" fontId="9" fillId="0" borderId="12" xfId="0" applyFont="1" applyBorder="1" applyAlignment="1">
      <alignment horizontal="left"/>
    </xf>
    <xf numFmtId="0" fontId="9" fillId="0" borderId="53" xfId="0" applyFont="1" applyBorder="1"/>
    <xf numFmtId="0" fontId="9" fillId="6" borderId="2" xfId="0" applyFont="1" applyFill="1" applyBorder="1"/>
    <xf numFmtId="0" fontId="9" fillId="6" borderId="1" xfId="0" applyFont="1" applyFill="1" applyBorder="1" applyAlignment="1">
      <alignment horizontal="center" vertical="center"/>
    </xf>
    <xf numFmtId="0" fontId="9" fillId="0" borderId="11" xfId="0" applyFont="1" applyBorder="1" applyAlignment="1">
      <alignment horizontal="left"/>
    </xf>
    <xf numFmtId="0" fontId="9" fillId="0" borderId="54" xfId="0" applyFont="1" applyBorder="1"/>
    <xf numFmtId="0" fontId="9" fillId="0" borderId="3" xfId="0" applyFont="1" applyBorder="1"/>
    <xf numFmtId="0" fontId="9" fillId="0" borderId="1" xfId="0" applyFont="1" applyBorder="1" applyAlignment="1">
      <alignment horizontal="center" vertical="center"/>
    </xf>
    <xf numFmtId="0" fontId="9" fillId="6" borderId="3" xfId="0" applyFont="1" applyFill="1" applyBorder="1"/>
    <xf numFmtId="0" fontId="9" fillId="0" borderId="14" xfId="0" applyFont="1" applyBorder="1" applyAlignment="1">
      <alignment horizontal="left"/>
    </xf>
    <xf numFmtId="0" fontId="9" fillId="0" borderId="55" xfId="0" applyFont="1" applyBorder="1"/>
    <xf numFmtId="0" fontId="9" fillId="0" borderId="4" xfId="0" applyFont="1" applyBorder="1"/>
    <xf numFmtId="0" fontId="9" fillId="0" borderId="11" xfId="0" applyFont="1" applyBorder="1"/>
    <xf numFmtId="0" fontId="9" fillId="0" borderId="14" xfId="0" applyFont="1" applyBorder="1"/>
    <xf numFmtId="0" fontId="9" fillId="0" borderId="0" xfId="0" applyFont="1" applyAlignment="1">
      <alignment horizontal="center" vertical="center"/>
    </xf>
    <xf numFmtId="0" fontId="9" fillId="0" borderId="1" xfId="0" applyFont="1" applyBorder="1" applyAlignment="1">
      <alignment horizontal="center"/>
    </xf>
    <xf numFmtId="0" fontId="9" fillId="0" borderId="0" xfId="1" applyFont="1" applyAlignment="1">
      <alignment horizontal="left" vertical="center" wrapText="1"/>
    </xf>
    <xf numFmtId="0" fontId="9" fillId="13" borderId="0" xfId="0" applyFont="1" applyFill="1" applyAlignment="1">
      <alignment horizontal="center" vertical="center"/>
    </xf>
    <xf numFmtId="170" fontId="9" fillId="0" borderId="0" xfId="1" applyNumberFormat="1" applyFont="1" applyAlignment="1">
      <alignment horizontal="center" wrapText="1"/>
    </xf>
    <xf numFmtId="170" fontId="9" fillId="0" borderId="0" xfId="0" applyNumberFormat="1" applyFont="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center"/>
    </xf>
    <xf numFmtId="0" fontId="9" fillId="13" borderId="0" xfId="0" applyFont="1" applyFill="1" applyAlignment="1">
      <alignment horizontal="center"/>
    </xf>
    <xf numFmtId="0" fontId="52" fillId="13" borderId="0" xfId="0" applyFont="1" applyFill="1" applyAlignment="1">
      <alignment horizontal="center" vertical="center"/>
    </xf>
    <xf numFmtId="0" fontId="61" fillId="0" borderId="0" xfId="0" applyFont="1" applyAlignment="1">
      <alignment horizontal="center" vertical="center"/>
    </xf>
    <xf numFmtId="0" fontId="84" fillId="0" borderId="0" xfId="0" applyFont="1" applyAlignment="1">
      <alignment vertical="center"/>
    </xf>
    <xf numFmtId="0" fontId="78" fillId="0" borderId="0" xfId="0" applyFont="1"/>
    <xf numFmtId="0" fontId="44" fillId="0" borderId="0" xfId="3" applyFont="1" applyAlignment="1">
      <alignment vertical="center" wrapText="1"/>
    </xf>
    <xf numFmtId="0" fontId="84" fillId="0" borderId="0" xfId="3" applyFont="1"/>
    <xf numFmtId="0" fontId="58" fillId="0" borderId="0" xfId="1" applyFont="1" applyAlignment="1">
      <alignment horizontal="left"/>
    </xf>
    <xf numFmtId="0" fontId="89" fillId="0" borderId="0" xfId="0" applyFont="1" applyAlignment="1">
      <alignment horizontal="left"/>
    </xf>
    <xf numFmtId="0" fontId="81" fillId="19" borderId="0" xfId="0" applyFont="1" applyFill="1"/>
    <xf numFmtId="0" fontId="81" fillId="11" borderId="0" xfId="0" applyFont="1" applyFill="1"/>
    <xf numFmtId="0" fontId="52" fillId="13" borderId="0" xfId="0" applyFont="1" applyFill="1" applyAlignment="1">
      <alignment horizontal="right" vertical="center"/>
    </xf>
    <xf numFmtId="0" fontId="52" fillId="13" borderId="0" xfId="0" applyFont="1" applyFill="1" applyAlignment="1">
      <alignment vertical="center"/>
    </xf>
    <xf numFmtId="0" fontId="52" fillId="13" borderId="0" xfId="0" applyFont="1" applyFill="1"/>
    <xf numFmtId="0" fontId="52" fillId="13" borderId="0" xfId="0" applyFont="1" applyFill="1" applyAlignment="1">
      <alignment horizontal="left" vertical="center"/>
    </xf>
    <xf numFmtId="0" fontId="45" fillId="13" borderId="0" xfId="0" applyFont="1" applyFill="1"/>
    <xf numFmtId="0" fontId="79" fillId="13" borderId="0" xfId="0" applyFont="1" applyFill="1"/>
    <xf numFmtId="0" fontId="52" fillId="13" borderId="0" xfId="0" applyFont="1" applyFill="1" applyAlignment="1">
      <alignment horizontal="center" vertical="center" wrapText="1"/>
    </xf>
    <xf numFmtId="0" fontId="52" fillId="13" borderId="0" xfId="0" applyFont="1" applyFill="1" applyAlignment="1">
      <alignment wrapText="1"/>
    </xf>
    <xf numFmtId="0" fontId="52" fillId="13" borderId="0" xfId="0" applyFont="1" applyFill="1" applyAlignment="1">
      <alignment horizontal="center"/>
    </xf>
    <xf numFmtId="168" fontId="52" fillId="13" borderId="0" xfId="0" applyNumberFormat="1" applyFont="1" applyFill="1"/>
    <xf numFmtId="0" fontId="52" fillId="13" borderId="0" xfId="0" applyFont="1" applyFill="1" applyAlignment="1">
      <alignment horizontal="left"/>
    </xf>
    <xf numFmtId="0" fontId="52" fillId="13" borderId="0" xfId="0" applyFont="1" applyFill="1" applyAlignment="1">
      <alignment vertical="center" wrapText="1"/>
    </xf>
    <xf numFmtId="14" fontId="47" fillId="13" borderId="0" xfId="0" applyNumberFormat="1" applyFont="1" applyFill="1" applyAlignment="1">
      <alignment horizontal="center" vertical="center"/>
    </xf>
    <xf numFmtId="0" fontId="47" fillId="13" borderId="0" xfId="0" applyFont="1" applyFill="1" applyAlignment="1">
      <alignment horizontal="center" vertical="center"/>
    </xf>
    <xf numFmtId="0" fontId="115" fillId="13" borderId="0" xfId="0" applyFont="1" applyFill="1" applyAlignment="1">
      <alignment horizontal="left" vertical="center" wrapText="1"/>
    </xf>
    <xf numFmtId="0" fontId="66" fillId="13" borderId="87" xfId="0" applyFont="1" applyFill="1" applyBorder="1" applyAlignment="1">
      <alignment horizontal="left"/>
    </xf>
    <xf numFmtId="0" fontId="66" fillId="13" borderId="68" xfId="0" applyFont="1" applyFill="1" applyBorder="1" applyAlignment="1">
      <alignment horizontal="left"/>
    </xf>
    <xf numFmtId="0" fontId="88" fillId="13" borderId="68" xfId="0" applyFont="1" applyFill="1" applyBorder="1"/>
    <xf numFmtId="0" fontId="66" fillId="13" borderId="68" xfId="0" applyFont="1" applyFill="1" applyBorder="1"/>
    <xf numFmtId="0" fontId="66" fillId="0" borderId="87" xfId="0" applyFont="1" applyBorder="1" applyAlignment="1">
      <alignment horizontal="left"/>
    </xf>
    <xf numFmtId="0" fontId="66" fillId="0" borderId="88" xfId="0" applyFont="1" applyBorder="1" applyAlignment="1">
      <alignment horizontal="left"/>
    </xf>
    <xf numFmtId="0" fontId="89" fillId="0" borderId="88" xfId="0" applyFont="1" applyBorder="1" applyAlignment="1">
      <alignment horizontal="left"/>
    </xf>
    <xf numFmtId="0" fontId="89" fillId="0" borderId="89" xfId="0" applyFont="1" applyBorder="1" applyAlignment="1">
      <alignment horizontal="left"/>
    </xf>
    <xf numFmtId="0" fontId="66" fillId="7" borderId="87" xfId="0" applyFont="1" applyFill="1" applyBorder="1" applyAlignment="1">
      <alignment horizontal="left"/>
    </xf>
    <xf numFmtId="0" fontId="88" fillId="7" borderId="88" xfId="0" applyFont="1" applyFill="1" applyBorder="1" applyAlignment="1">
      <alignment horizontal="left"/>
    </xf>
    <xf numFmtId="0" fontId="66" fillId="7" borderId="89" xfId="0" applyFont="1" applyFill="1" applyBorder="1" applyAlignment="1">
      <alignment horizontal="left"/>
    </xf>
    <xf numFmtId="0" fontId="66" fillId="7" borderId="1" xfId="0" applyFont="1" applyFill="1" applyBorder="1" applyAlignment="1">
      <alignment horizontal="left"/>
    </xf>
    <xf numFmtId="0" fontId="66" fillId="20" borderId="87" xfId="0" applyFont="1" applyFill="1" applyBorder="1" applyAlignment="1">
      <alignment horizontal="left"/>
    </xf>
    <xf numFmtId="0" fontId="88" fillId="20" borderId="88" xfId="0" applyFont="1" applyFill="1" applyBorder="1" applyAlignment="1">
      <alignment horizontal="left"/>
    </xf>
    <xf numFmtId="0" fontId="66" fillId="20" borderId="89" xfId="0" applyFont="1" applyFill="1" applyBorder="1" applyAlignment="1">
      <alignment horizontal="left"/>
    </xf>
    <xf numFmtId="0" fontId="66" fillId="20" borderId="1" xfId="0" applyFont="1" applyFill="1" applyBorder="1" applyAlignment="1">
      <alignment horizontal="left"/>
    </xf>
    <xf numFmtId="0" fontId="88" fillId="13" borderId="88" xfId="0" applyFont="1" applyFill="1" applyBorder="1" applyAlignment="1">
      <alignment horizontal="left"/>
    </xf>
    <xf numFmtId="0" fontId="66" fillId="13" borderId="89" xfId="0" applyFont="1" applyFill="1" applyBorder="1" applyAlignment="1">
      <alignment horizontal="left"/>
    </xf>
    <xf numFmtId="0" fontId="81" fillId="4" borderId="0" xfId="0" applyFont="1" applyFill="1"/>
    <xf numFmtId="0" fontId="116" fillId="0" borderId="0" xfId="0" applyFont="1"/>
    <xf numFmtId="0" fontId="39" fillId="0" borderId="0" xfId="1" applyFont="1"/>
    <xf numFmtId="0" fontId="117" fillId="0" borderId="0" xfId="0" applyFont="1"/>
    <xf numFmtId="0" fontId="8" fillId="0" borderId="3" xfId="0" applyFont="1" applyBorder="1"/>
    <xf numFmtId="0" fontId="8" fillId="0" borderId="11" xfId="0" applyFont="1" applyBorder="1" applyAlignment="1">
      <alignment horizontal="left"/>
    </xf>
    <xf numFmtId="0" fontId="8" fillId="0" borderId="0" xfId="0" applyFont="1"/>
    <xf numFmtId="0" fontId="8" fillId="0" borderId="12" xfId="0" applyFont="1" applyBorder="1" applyAlignment="1">
      <alignment horizontal="left"/>
    </xf>
    <xf numFmtId="0" fontId="8" fillId="15" borderId="3" xfId="0" applyFont="1" applyFill="1" applyBorder="1"/>
    <xf numFmtId="0" fontId="9" fillId="15" borderId="1" xfId="0" applyFont="1" applyFill="1" applyBorder="1" applyAlignment="1">
      <alignment horizontal="center" vertical="center"/>
    </xf>
    <xf numFmtId="0" fontId="8" fillId="15" borderId="2" xfId="0" applyFont="1" applyFill="1" applyBorder="1"/>
    <xf numFmtId="0" fontId="9" fillId="15" borderId="1" xfId="0" applyFont="1" applyFill="1" applyBorder="1" applyAlignment="1">
      <alignment horizontal="center"/>
    </xf>
    <xf numFmtId="0" fontId="8" fillId="15" borderId="4" xfId="0" applyFont="1" applyFill="1" applyBorder="1"/>
    <xf numFmtId="0" fontId="9" fillId="18" borderId="1" xfId="0" applyFont="1" applyFill="1" applyBorder="1" applyAlignment="1">
      <alignment horizontal="center" vertical="center"/>
    </xf>
    <xf numFmtId="0" fontId="8" fillId="15" borderId="0" xfId="0" applyFont="1" applyFill="1"/>
    <xf numFmtId="0" fontId="9" fillId="0" borderId="12" xfId="0" applyFont="1" applyBorder="1"/>
    <xf numFmtId="0" fontId="9" fillId="15" borderId="11" xfId="0" applyFont="1" applyFill="1" applyBorder="1"/>
    <xf numFmtId="0" fontId="9" fillId="15" borderId="14" xfId="0" applyFont="1" applyFill="1" applyBorder="1"/>
    <xf numFmtId="0" fontId="8" fillId="18" borderId="53" xfId="0" applyFont="1" applyFill="1" applyBorder="1"/>
    <xf numFmtId="0" fontId="8" fillId="15" borderId="54" xfId="0" applyFont="1" applyFill="1" applyBorder="1"/>
    <xf numFmtId="0" fontId="8" fillId="0" borderId="54" xfId="0" applyFont="1" applyBorder="1"/>
    <xf numFmtId="0" fontId="8" fillId="0" borderId="55" xfId="0" applyFont="1" applyBorder="1"/>
    <xf numFmtId="0" fontId="9" fillId="6" borderId="13" xfId="0" applyFont="1" applyFill="1" applyBorder="1"/>
    <xf numFmtId="0" fontId="9" fillId="6" borderId="53" xfId="0" applyFont="1" applyFill="1" applyBorder="1"/>
    <xf numFmtId="0" fontId="9" fillId="0" borderId="15" xfId="0" applyFont="1" applyBorder="1"/>
    <xf numFmtId="0" fontId="8" fillId="0" borderId="15" xfId="0" applyFont="1" applyBorder="1"/>
    <xf numFmtId="0" fontId="8" fillId="0" borderId="5" xfId="0" applyFont="1" applyBorder="1"/>
    <xf numFmtId="0" fontId="8" fillId="0" borderId="6" xfId="0" applyFont="1" applyBorder="1"/>
    <xf numFmtId="0" fontId="9" fillId="0" borderId="7" xfId="0" applyFont="1" applyBorder="1"/>
    <xf numFmtId="0" fontId="9" fillId="0" borderId="13" xfId="0" applyFont="1" applyBorder="1"/>
    <xf numFmtId="0" fontId="9" fillId="15" borderId="12" xfId="0" applyFont="1" applyFill="1" applyBorder="1"/>
    <xf numFmtId="0" fontId="8" fillId="15" borderId="13" xfId="0" applyFont="1" applyFill="1" applyBorder="1"/>
    <xf numFmtId="0" fontId="9" fillId="15" borderId="53" xfId="0" applyFont="1" applyFill="1" applyBorder="1"/>
    <xf numFmtId="0" fontId="8" fillId="15" borderId="12" xfId="0" applyFont="1" applyFill="1" applyBorder="1"/>
    <xf numFmtId="0" fontId="8" fillId="15" borderId="15" xfId="0" applyFont="1" applyFill="1" applyBorder="1"/>
    <xf numFmtId="0" fontId="9" fillId="15" borderId="55" xfId="0" applyFont="1" applyFill="1" applyBorder="1"/>
    <xf numFmtId="2" fontId="9" fillId="0" borderId="0" xfId="0" applyNumberFormat="1" applyFont="1" applyAlignment="1">
      <alignment horizontal="center" vertical="center"/>
    </xf>
    <xf numFmtId="0" fontId="118" fillId="0" borderId="0" xfId="0" applyFont="1" applyAlignment="1">
      <alignment vertical="center"/>
    </xf>
    <xf numFmtId="0" fontId="61" fillId="0" borderId="0" xfId="0" applyFont="1" applyAlignment="1">
      <alignment horizontal="center"/>
    </xf>
    <xf numFmtId="0" fontId="8" fillId="0" borderId="0" xfId="1" applyFont="1" applyAlignment="1">
      <alignment horizontal="left" vertical="center" wrapText="1"/>
    </xf>
    <xf numFmtId="0" fontId="118" fillId="0" borderId="0" xfId="0" applyFont="1" applyAlignment="1">
      <alignment horizontal="center" vertical="center"/>
    </xf>
    <xf numFmtId="0" fontId="119" fillId="0" borderId="0" xfId="3" applyFont="1" applyAlignment="1">
      <alignment horizontal="center" vertical="center" wrapText="1"/>
    </xf>
    <xf numFmtId="0" fontId="79" fillId="0" borderId="0" xfId="3" applyFont="1" applyAlignment="1">
      <alignment horizontal="center" vertical="center"/>
    </xf>
    <xf numFmtId="0" fontId="46" fillId="0" borderId="0" xfId="3" applyFont="1" applyAlignment="1">
      <alignment vertical="center"/>
    </xf>
    <xf numFmtId="0" fontId="121" fillId="0" borderId="0" xfId="0" applyFont="1" applyAlignment="1">
      <alignment wrapText="1"/>
    </xf>
    <xf numFmtId="0" fontId="122" fillId="0" borderId="0" xfId="0" applyFont="1" applyAlignment="1">
      <alignment vertical="top" wrapText="1"/>
    </xf>
    <xf numFmtId="0" fontId="6" fillId="19" borderId="0" xfId="3" applyFont="1" applyFill="1"/>
    <xf numFmtId="0" fontId="6" fillId="0" borderId="0" xfId="3" applyFont="1"/>
    <xf numFmtId="0" fontId="6" fillId="0" borderId="0" xfId="3" applyFont="1" applyAlignment="1">
      <alignment horizontal="left" vertical="top"/>
    </xf>
    <xf numFmtId="0" fontId="6" fillId="0" borderId="68" xfId="3" applyFont="1" applyBorder="1" applyAlignment="1">
      <alignment horizontal="center" vertical="center"/>
    </xf>
    <xf numFmtId="0" fontId="62" fillId="0" borderId="0" xfId="3" applyFont="1" applyAlignment="1">
      <alignment vertical="center" wrapText="1"/>
    </xf>
    <xf numFmtId="0" fontId="6" fillId="0" borderId="0" xfId="3" applyFont="1" applyAlignment="1">
      <alignment vertical="center" wrapText="1"/>
    </xf>
    <xf numFmtId="0" fontId="44" fillId="0" borderId="0" xfId="3" applyFont="1" applyAlignment="1">
      <alignment wrapText="1"/>
    </xf>
    <xf numFmtId="0" fontId="123" fillId="0" borderId="0" xfId="3" applyFont="1" applyAlignment="1">
      <alignment horizontal="center" vertical="center" wrapText="1"/>
    </xf>
    <xf numFmtId="0" fontId="124" fillId="0" borderId="0" xfId="3" applyFont="1" applyAlignment="1">
      <alignment horizontal="center" vertical="center" wrapText="1"/>
    </xf>
    <xf numFmtId="0" fontId="82" fillId="0" borderId="0" xfId="3" applyFont="1" applyAlignment="1">
      <alignment horizontal="center" vertical="center" wrapText="1"/>
    </xf>
    <xf numFmtId="0" fontId="44" fillId="0" borderId="0" xfId="3" applyFont="1" applyAlignment="1">
      <alignment horizontal="left" vertical="top"/>
    </xf>
    <xf numFmtId="0" fontId="51" fillId="0" borderId="0" xfId="3" applyFont="1" applyAlignment="1" applyProtection="1">
      <alignment horizontal="left" vertical="center" wrapText="1"/>
      <protection locked="0"/>
    </xf>
    <xf numFmtId="0" fontId="6" fillId="0" borderId="0" xfId="3" applyFont="1" applyAlignment="1" applyProtection="1">
      <alignment vertical="center"/>
      <protection locked="0"/>
    </xf>
    <xf numFmtId="0" fontId="119" fillId="0" borderId="0" xfId="3" applyFont="1" applyAlignment="1" applyProtection="1">
      <alignment vertical="center" wrapText="1"/>
      <protection locked="0"/>
    </xf>
    <xf numFmtId="0" fontId="6" fillId="0" borderId="0" xfId="3" applyFont="1" applyAlignment="1" applyProtection="1">
      <alignment horizontal="left" vertical="top"/>
      <protection locked="0"/>
    </xf>
    <xf numFmtId="0" fontId="51" fillId="0" borderId="0" xfId="3" applyFont="1" applyAlignment="1">
      <alignment horizontal="left" vertical="center" wrapText="1"/>
    </xf>
    <xf numFmtId="0" fontId="6" fillId="0" borderId="0" xfId="3" applyFont="1" applyAlignment="1">
      <alignment vertical="center"/>
    </xf>
    <xf numFmtId="0" fontId="119" fillId="0" borderId="0" xfId="3" applyFont="1" applyAlignment="1">
      <alignment vertical="center" wrapText="1"/>
    </xf>
    <xf numFmtId="0" fontId="39" fillId="0" borderId="0" xfId="3" applyFont="1" applyAlignment="1">
      <alignment vertical="center" wrapText="1"/>
    </xf>
    <xf numFmtId="0" fontId="82" fillId="0" borderId="0" xfId="3" applyFont="1" applyAlignment="1">
      <alignment horizontal="left" vertical="center" wrapText="1"/>
    </xf>
    <xf numFmtId="0" fontId="125" fillId="0" borderId="0" xfId="3" applyFont="1" applyAlignment="1">
      <alignment horizontal="center" vertical="center" wrapText="1"/>
    </xf>
    <xf numFmtId="0" fontId="80" fillId="0" borderId="0" xfId="3" applyFont="1" applyAlignment="1">
      <alignment horizontal="right" vertical="center"/>
    </xf>
    <xf numFmtId="0" fontId="62" fillId="0" borderId="0" xfId="3" applyFont="1" applyAlignment="1">
      <alignment horizontal="left" vertical="center" wrapText="1"/>
    </xf>
    <xf numFmtId="0" fontId="73" fillId="0" borderId="0" xfId="3" applyFont="1" applyAlignment="1">
      <alignment vertical="center" wrapText="1"/>
    </xf>
    <xf numFmtId="0" fontId="126" fillId="0" borderId="0" xfId="3" applyFont="1" applyAlignment="1">
      <alignment vertical="center" wrapText="1"/>
    </xf>
    <xf numFmtId="0" fontId="6" fillId="0" borderId="0" xfId="3" applyFont="1" applyAlignment="1">
      <alignment vertical="top"/>
    </xf>
    <xf numFmtId="0" fontId="6" fillId="0" borderId="0" xfId="3" applyFont="1" applyAlignment="1">
      <alignment horizontal="left" vertical="top" wrapText="1"/>
    </xf>
    <xf numFmtId="0" fontId="6" fillId="0" borderId="0" xfId="3" applyFont="1" applyAlignment="1">
      <alignment wrapText="1"/>
    </xf>
    <xf numFmtId="0" fontId="62" fillId="0" borderId="0" xfId="3" applyFont="1" applyAlignment="1">
      <alignment wrapText="1"/>
    </xf>
    <xf numFmtId="0" fontId="62" fillId="0" borderId="0" xfId="3" applyFont="1" applyAlignment="1">
      <alignment horizontal="center" vertical="center" wrapText="1"/>
    </xf>
    <xf numFmtId="0" fontId="83" fillId="18" borderId="0" xfId="3" applyFont="1" applyFill="1" applyAlignment="1">
      <alignment horizontal="left" vertical="center" wrapText="1"/>
    </xf>
    <xf numFmtId="0" fontId="51" fillId="0" borderId="71" xfId="3" applyFont="1" applyBorder="1" applyAlignment="1">
      <alignment horizontal="left" vertical="center" wrapText="1"/>
    </xf>
    <xf numFmtId="0" fontId="51" fillId="0" borderId="72" xfId="3" applyFont="1" applyBorder="1" applyAlignment="1">
      <alignment vertical="center" wrapText="1"/>
    </xf>
    <xf numFmtId="0" fontId="39" fillId="0" borderId="71" xfId="3" applyFont="1" applyBorder="1" applyAlignment="1">
      <alignment vertical="center" wrapText="1"/>
    </xf>
    <xf numFmtId="0" fontId="39" fillId="0" borderId="72" xfId="3" applyFont="1" applyBorder="1" applyAlignment="1">
      <alignment vertical="center" wrapText="1"/>
    </xf>
    <xf numFmtId="0" fontId="39" fillId="0" borderId="77" xfId="3" applyFont="1" applyBorder="1" applyAlignment="1">
      <alignment vertical="center" wrapText="1"/>
    </xf>
    <xf numFmtId="0" fontId="39" fillId="0" borderId="78" xfId="3" applyFont="1" applyBorder="1" applyAlignment="1">
      <alignment vertical="center" wrapText="1"/>
    </xf>
    <xf numFmtId="0" fontId="39" fillId="0" borderId="77" xfId="3" applyFont="1" applyBorder="1" applyAlignment="1">
      <alignment horizontal="left" vertical="center" wrapText="1"/>
    </xf>
    <xf numFmtId="0" fontId="86" fillId="0" borderId="0" xfId="1" applyFont="1" applyAlignment="1">
      <alignment vertical="center"/>
    </xf>
    <xf numFmtId="0" fontId="59" fillId="0" borderId="68" xfId="3" applyFont="1" applyBorder="1" applyAlignment="1" applyProtection="1">
      <alignment horizontal="center" vertical="center"/>
      <protection locked="0"/>
    </xf>
    <xf numFmtId="0" fontId="59" fillId="0" borderId="0" xfId="3" applyFont="1" applyAlignment="1">
      <alignment horizontal="center" vertical="center"/>
    </xf>
    <xf numFmtId="0" fontId="59" fillId="19" borderId="67" xfId="3" applyFont="1" applyFill="1" applyBorder="1" applyAlignment="1">
      <alignment horizontal="center" vertical="center" wrapText="1"/>
    </xf>
    <xf numFmtId="0" fontId="130" fillId="0" borderId="0" xfId="3" applyFont="1" applyAlignment="1">
      <alignment horizontal="center" vertical="center" wrapText="1"/>
    </xf>
    <xf numFmtId="0" fontId="62" fillId="0" borderId="77" xfId="3" applyFont="1" applyBorder="1" applyAlignment="1">
      <alignment vertical="center" wrapText="1"/>
    </xf>
    <xf numFmtId="0" fontId="62" fillId="0" borderId="78" xfId="3" applyFont="1" applyBorder="1" applyAlignment="1">
      <alignment vertical="center" wrapText="1"/>
    </xf>
    <xf numFmtId="0" fontId="6" fillId="11" borderId="0" xfId="3" applyFont="1" applyFill="1"/>
    <xf numFmtId="0" fontId="131" fillId="0" borderId="0" xfId="3" applyFont="1" applyAlignment="1">
      <alignment vertical="center" wrapText="1"/>
    </xf>
    <xf numFmtId="0" fontId="80" fillId="0" borderId="0" xfId="3" applyFont="1" applyAlignment="1">
      <alignment horizontal="center" vertical="center" wrapText="1"/>
    </xf>
    <xf numFmtId="0" fontId="132" fillId="0" borderId="0" xfId="3" applyFont="1" applyAlignment="1">
      <alignment horizontal="center" vertical="center" wrapText="1"/>
    </xf>
    <xf numFmtId="0" fontId="39" fillId="0" borderId="71" xfId="3" applyFont="1" applyBorder="1" applyAlignment="1">
      <alignment horizontal="left" vertical="center" wrapText="1"/>
    </xf>
    <xf numFmtId="0" fontId="59" fillId="11" borderId="67" xfId="3" applyFont="1" applyFill="1" applyBorder="1" applyAlignment="1">
      <alignment horizontal="center" vertical="center" wrapText="1"/>
    </xf>
    <xf numFmtId="0" fontId="86" fillId="0" borderId="0" xfId="0" applyFont="1" applyAlignment="1">
      <alignment horizontal="right" vertical="center"/>
    </xf>
    <xf numFmtId="0" fontId="6" fillId="4" borderId="0" xfId="3" applyFont="1" applyFill="1"/>
    <xf numFmtId="0" fontId="59" fillId="17" borderId="67" xfId="3" applyFont="1" applyFill="1" applyBorder="1" applyAlignment="1">
      <alignment horizontal="center" vertical="center" wrapText="1"/>
    </xf>
    <xf numFmtId="0" fontId="79" fillId="0" borderId="0" xfId="0" applyFont="1"/>
    <xf numFmtId="0" fontId="84" fillId="0" borderId="0" xfId="1" applyFont="1" applyAlignment="1">
      <alignment horizontal="left" vertical="center" wrapText="1"/>
    </xf>
    <xf numFmtId="0" fontId="83" fillId="0" borderId="0" xfId="0" applyFont="1" applyAlignment="1">
      <alignment vertical="center"/>
    </xf>
    <xf numFmtId="0" fontId="134" fillId="0" borderId="0" xfId="0" applyFont="1" applyAlignment="1">
      <alignment vertical="center"/>
    </xf>
    <xf numFmtId="0" fontId="142" fillId="0" borderId="0" xfId="0" applyFont="1" applyAlignment="1">
      <alignment wrapText="1"/>
    </xf>
    <xf numFmtId="0" fontId="3" fillId="0" borderId="0" xfId="0" applyFont="1"/>
    <xf numFmtId="0" fontId="46" fillId="0" borderId="0" xfId="4" applyFont="1"/>
    <xf numFmtId="0" fontId="3" fillId="0" borderId="15" xfId="0" applyFont="1" applyBorder="1"/>
    <xf numFmtId="0" fontId="3" fillId="0" borderId="55" xfId="0" applyFont="1" applyBorder="1"/>
    <xf numFmtId="0" fontId="3" fillId="0" borderId="1" xfId="0" applyFont="1" applyBorder="1" applyAlignment="1">
      <alignment horizontal="center" vertical="center"/>
    </xf>
    <xf numFmtId="0" fontId="145" fillId="0" borderId="0" xfId="0" applyFont="1"/>
    <xf numFmtId="0" fontId="3" fillId="0" borderId="0" xfId="5" applyProtection="1">
      <protection locked="0"/>
    </xf>
    <xf numFmtId="0" fontId="3" fillId="0" borderId="0" xfId="5" applyAlignment="1" applyProtection="1">
      <alignment horizontal="left" vertical="top"/>
      <protection locked="0"/>
    </xf>
    <xf numFmtId="0" fontId="91" fillId="0" borderId="0" xfId="0" applyFont="1" applyProtection="1">
      <protection locked="0"/>
    </xf>
    <xf numFmtId="0" fontId="79" fillId="0" borderId="0" xfId="5" applyFont="1" applyProtection="1">
      <protection locked="0"/>
    </xf>
    <xf numFmtId="0" fontId="78" fillId="0" borderId="0" xfId="0" applyFont="1" applyProtection="1">
      <protection locked="0"/>
    </xf>
    <xf numFmtId="0" fontId="52" fillId="13" borderId="0" xfId="0" applyFont="1" applyFill="1" applyAlignment="1" applyProtection="1">
      <alignment horizontal="left" vertical="center"/>
      <protection locked="0"/>
    </xf>
    <xf numFmtId="49" fontId="52" fillId="0" borderId="0" xfId="0" applyNumberFormat="1" applyFont="1" applyAlignment="1" applyProtection="1">
      <alignment vertical="center"/>
      <protection locked="0"/>
    </xf>
    <xf numFmtId="0" fontId="52" fillId="13" borderId="0" xfId="0" applyFont="1" applyFill="1" applyAlignment="1" applyProtection="1">
      <alignment horizontal="right" vertical="center"/>
      <protection locked="0"/>
    </xf>
    <xf numFmtId="0" fontId="52" fillId="13" borderId="0" xfId="0" applyFont="1" applyFill="1" applyProtection="1">
      <protection locked="0"/>
    </xf>
    <xf numFmtId="0" fontId="52" fillId="0" borderId="0" xfId="0" applyFont="1" applyAlignment="1" applyProtection="1">
      <alignment vertical="center" wrapText="1"/>
      <protection locked="0"/>
    </xf>
    <xf numFmtId="0" fontId="52" fillId="23" borderId="0" xfId="0" applyFont="1" applyFill="1" applyProtection="1">
      <protection locked="0"/>
    </xf>
    <xf numFmtId="0" fontId="146" fillId="0" borderId="0" xfId="0" applyFont="1" applyAlignment="1" applyProtection="1">
      <alignment vertical="center" wrapText="1"/>
      <protection locked="0"/>
    </xf>
    <xf numFmtId="0" fontId="52" fillId="0" borderId="0" xfId="0" applyFont="1" applyAlignment="1" applyProtection="1">
      <alignment horizontal="left" vertical="center" wrapText="1"/>
      <protection locked="0"/>
    </xf>
    <xf numFmtId="0" fontId="82" fillId="13" borderId="0" xfId="5" applyFont="1" applyFill="1" applyAlignment="1" applyProtection="1">
      <alignment horizontal="left" vertical="center"/>
      <protection locked="0"/>
    </xf>
    <xf numFmtId="0" fontId="3" fillId="13" borderId="0" xfId="5" applyFill="1" applyAlignment="1" applyProtection="1">
      <alignment horizontal="left" vertical="center"/>
      <protection locked="0"/>
    </xf>
    <xf numFmtId="0" fontId="3" fillId="0" borderId="0" xfId="5" applyAlignment="1" applyProtection="1">
      <alignment horizontal="left" vertical="center"/>
      <protection locked="0"/>
    </xf>
    <xf numFmtId="0" fontId="47" fillId="0" borderId="0" xfId="5" applyFont="1" applyAlignment="1" applyProtection="1">
      <alignment horizontal="center" vertical="center"/>
      <protection locked="0"/>
    </xf>
    <xf numFmtId="0" fontId="148" fillId="0" borderId="0" xfId="5" applyFont="1" applyAlignment="1" applyProtection="1">
      <alignment horizontal="left" vertical="top"/>
      <protection locked="0"/>
    </xf>
    <xf numFmtId="14" fontId="78" fillId="0" borderId="48" xfId="5" applyNumberFormat="1" applyFont="1" applyBorder="1" applyAlignment="1" applyProtection="1">
      <alignment horizontal="left" vertical="center"/>
      <protection locked="0"/>
    </xf>
    <xf numFmtId="14" fontId="78" fillId="0" borderId="18" xfId="5" applyNumberFormat="1" applyFont="1" applyBorder="1" applyAlignment="1" applyProtection="1">
      <alignment horizontal="left" vertical="center"/>
      <protection locked="0"/>
    </xf>
    <xf numFmtId="0" fontId="78" fillId="0" borderId="0" xfId="5" applyFont="1" applyAlignment="1" applyProtection="1">
      <alignment horizontal="left" vertical="center"/>
      <protection locked="0"/>
    </xf>
    <xf numFmtId="0" fontId="78" fillId="0" borderId="18" xfId="5" applyFont="1" applyBorder="1" applyAlignment="1" applyProtection="1">
      <alignment horizontal="left" vertical="center" wrapText="1"/>
      <protection locked="0"/>
    </xf>
    <xf numFmtId="0" fontId="78" fillId="0" borderId="18" xfId="5" applyFont="1" applyBorder="1" applyAlignment="1" applyProtection="1">
      <alignment horizontal="left" vertical="center"/>
      <protection locked="0"/>
    </xf>
    <xf numFmtId="0" fontId="47" fillId="0" borderId="1" xfId="5" applyFont="1" applyBorder="1" applyAlignment="1" applyProtection="1">
      <alignment horizontal="center" vertical="center"/>
      <protection locked="0"/>
    </xf>
    <xf numFmtId="0" fontId="3" fillId="0" borderId="1" xfId="5" applyBorder="1" applyAlignment="1" applyProtection="1">
      <alignment horizontal="left" vertical="center"/>
      <protection locked="0"/>
    </xf>
    <xf numFmtId="0" fontId="0" fillId="0" borderId="18" xfId="5" applyFont="1" applyBorder="1" applyAlignment="1" applyProtection="1">
      <alignment horizontal="left" vertical="center"/>
      <protection locked="0"/>
    </xf>
    <xf numFmtId="0" fontId="84" fillId="0" borderId="0" xfId="5" applyFont="1" applyAlignment="1" applyProtection="1">
      <alignment vertical="center"/>
      <protection locked="0"/>
    </xf>
    <xf numFmtId="0" fontId="3" fillId="0" borderId="0" xfId="5" applyAlignment="1" applyProtection="1">
      <alignment wrapText="1"/>
      <protection locked="0"/>
    </xf>
    <xf numFmtId="0" fontId="62" fillId="0" borderId="0" xfId="1" applyFont="1" applyProtection="1">
      <protection locked="0"/>
    </xf>
    <xf numFmtId="0" fontId="82" fillId="13" borderId="0" xfId="5" applyFont="1" applyFill="1" applyAlignment="1" applyProtection="1">
      <alignment vertical="center"/>
      <protection locked="0"/>
    </xf>
    <xf numFmtId="0" fontId="3" fillId="13" borderId="0" xfId="5" applyFill="1" applyProtection="1">
      <protection locked="0"/>
    </xf>
    <xf numFmtId="0" fontId="3" fillId="13" borderId="0" xfId="5" applyFill="1" applyAlignment="1" applyProtection="1">
      <alignment horizontal="left" vertical="top"/>
      <protection locked="0"/>
    </xf>
    <xf numFmtId="0" fontId="47" fillId="0" borderId="93" xfId="5" applyFont="1" applyBorder="1" applyAlignment="1" applyProtection="1">
      <alignment vertical="center"/>
      <protection locked="0"/>
    </xf>
    <xf numFmtId="0" fontId="78" fillId="0" borderId="18" xfId="5" applyFont="1" applyBorder="1" applyProtection="1">
      <protection locked="0"/>
    </xf>
    <xf numFmtId="0" fontId="51" fillId="0" borderId="0" xfId="5" applyFont="1" applyProtection="1">
      <protection locked="0"/>
    </xf>
    <xf numFmtId="0" fontId="39" fillId="0" borderId="0" xfId="5" applyFont="1" applyProtection="1">
      <protection locked="0"/>
    </xf>
    <xf numFmtId="0" fontId="3" fillId="0" borderId="0" xfId="6"/>
    <xf numFmtId="0" fontId="150" fillId="24" borderId="0" xfId="6" applyFont="1" applyFill="1"/>
    <xf numFmtId="0" fontId="150" fillId="24" borderId="0" xfId="0" applyFont="1" applyFill="1"/>
    <xf numFmtId="0" fontId="144" fillId="0" borderId="0" xfId="4"/>
    <xf numFmtId="0" fontId="3" fillId="0" borderId="94" xfId="0" applyFont="1" applyBorder="1"/>
    <xf numFmtId="0" fontId="0" fillId="0" borderId="95" xfId="0" applyBorder="1"/>
    <xf numFmtId="0" fontId="0" fillId="0" borderId="94" xfId="0" applyBorder="1"/>
    <xf numFmtId="0" fontId="3" fillId="0" borderId="94" xfId="6" applyBorder="1"/>
    <xf numFmtId="171" fontId="0" fillId="0" borderId="1" xfId="0" applyNumberFormat="1" applyBorder="1"/>
    <xf numFmtId="0" fontId="3" fillId="0" borderId="0" xfId="6" applyAlignment="1">
      <alignment wrapText="1"/>
    </xf>
    <xf numFmtId="0" fontId="3" fillId="0" borderId="96" xfId="6" applyBorder="1"/>
    <xf numFmtId="0" fontId="84" fillId="0" borderId="0" xfId="5" applyFont="1" applyProtection="1">
      <protection locked="0"/>
    </xf>
    <xf numFmtId="0" fontId="147" fillId="0" borderId="0" xfId="5" applyFont="1" applyProtection="1">
      <protection locked="0"/>
    </xf>
    <xf numFmtId="0" fontId="147" fillId="0" borderId="0" xfId="5" applyFont="1" applyAlignment="1" applyProtection="1">
      <alignment horizontal="left" vertical="center"/>
      <protection locked="0"/>
    </xf>
    <xf numFmtId="0" fontId="3" fillId="0" borderId="0" xfId="5" applyAlignment="1" applyProtection="1">
      <alignment vertical="top"/>
      <protection locked="0"/>
    </xf>
    <xf numFmtId="0" fontId="145" fillId="0" borderId="0" xfId="0" applyFont="1" applyAlignment="1" applyProtection="1">
      <alignment vertical="top"/>
      <protection locked="0"/>
    </xf>
    <xf numFmtId="0" fontId="145" fillId="0" borderId="0" xfId="5" applyFont="1" applyAlignment="1" applyProtection="1">
      <alignment vertical="center"/>
      <protection locked="0"/>
    </xf>
    <xf numFmtId="0" fontId="145" fillId="0" borderId="0" xfId="5" applyFont="1" applyAlignment="1" applyProtection="1">
      <alignment vertical="top" wrapText="1"/>
      <protection locked="0"/>
    </xf>
    <xf numFmtId="0" fontId="145" fillId="0" borderId="0" xfId="0" applyFont="1" applyAlignment="1" applyProtection="1">
      <alignment vertical="top" wrapText="1"/>
      <protection locked="0"/>
    </xf>
    <xf numFmtId="171" fontId="3" fillId="6" borderId="18" xfId="5" applyNumberFormat="1" applyFill="1" applyBorder="1" applyAlignment="1">
      <alignment horizontal="center" vertical="center"/>
    </xf>
    <xf numFmtId="1" fontId="3" fillId="0" borderId="18" xfId="5" applyNumberFormat="1" applyBorder="1" applyAlignment="1">
      <alignment horizontal="center" vertical="center"/>
    </xf>
    <xf numFmtId="0" fontId="62" fillId="6" borderId="48" xfId="5" applyFont="1" applyFill="1" applyBorder="1" applyAlignment="1">
      <alignment horizontal="center" vertical="center" wrapText="1"/>
    </xf>
    <xf numFmtId="1" fontId="62" fillId="13" borderId="85" xfId="5" applyNumberFormat="1" applyFont="1" applyFill="1" applyBorder="1" applyAlignment="1">
      <alignment horizontal="center" vertical="center" wrapText="1"/>
    </xf>
    <xf numFmtId="172" fontId="3" fillId="6" borderId="18" xfId="5" applyNumberFormat="1" applyFill="1" applyBorder="1" applyAlignment="1">
      <alignment horizontal="center" vertical="center"/>
    </xf>
    <xf numFmtId="1" fontId="3" fillId="0" borderId="18" xfId="5" applyNumberFormat="1" applyBorder="1" applyAlignment="1">
      <alignment horizontal="center" vertical="top"/>
    </xf>
    <xf numFmtId="0" fontId="47" fillId="0" borderId="0" xfId="5" applyFont="1" applyAlignment="1">
      <alignment horizontal="center" vertical="center"/>
    </xf>
    <xf numFmtId="1" fontId="3" fillId="0" borderId="1" xfId="5" applyNumberFormat="1" applyBorder="1"/>
    <xf numFmtId="0" fontId="47" fillId="0" borderId="0" xfId="0" applyFont="1" applyAlignment="1" applyProtection="1">
      <alignment horizontal="left" vertical="center"/>
      <protection locked="0"/>
    </xf>
    <xf numFmtId="0" fontId="3" fillId="0" borderId="0" xfId="0" applyFont="1" applyAlignment="1" applyProtection="1">
      <alignment horizontal="center"/>
      <protection locked="0"/>
    </xf>
    <xf numFmtId="0" fontId="3" fillId="0" borderId="0" xfId="0" applyFont="1" applyProtection="1">
      <protection locked="0"/>
    </xf>
    <xf numFmtId="0" fontId="47" fillId="0" borderId="0" xfId="0" applyFont="1" applyAlignment="1" applyProtection="1">
      <alignment horizontal="center" vertical="center"/>
      <protection locked="0"/>
    </xf>
    <xf numFmtId="0" fontId="86" fillId="0" borderId="13" xfId="0" applyFont="1" applyBorder="1" applyProtection="1">
      <protection locked="0"/>
    </xf>
    <xf numFmtId="0" fontId="86" fillId="0" borderId="0" xfId="0" applyFont="1" applyProtection="1">
      <protection locked="0"/>
    </xf>
    <xf numFmtId="0" fontId="91" fillId="0" borderId="0" xfId="0" applyFont="1" applyAlignment="1" applyProtection="1">
      <alignment horizontal="left" vertical="center"/>
      <protection locked="0"/>
    </xf>
    <xf numFmtId="0" fontId="95" fillId="0" borderId="0" xfId="0" applyFont="1" applyProtection="1">
      <protection locked="0"/>
    </xf>
    <xf numFmtId="0" fontId="9" fillId="0" borderId="0" xfId="0" applyFont="1" applyProtection="1">
      <protection locked="0"/>
    </xf>
    <xf numFmtId="0" fontId="45" fillId="0" borderId="0" xfId="0" applyFont="1" applyAlignment="1" applyProtection="1">
      <alignment horizontal="center" vertical="center" wrapText="1"/>
      <protection locked="0"/>
    </xf>
    <xf numFmtId="0" fontId="0" fillId="0" borderId="0" xfId="0" applyProtection="1">
      <protection locked="0"/>
    </xf>
    <xf numFmtId="49" fontId="52" fillId="13" borderId="0" xfId="0" applyNumberFormat="1" applyFont="1" applyFill="1" applyAlignment="1" applyProtection="1">
      <alignment vertical="center"/>
      <protection locked="0"/>
    </xf>
    <xf numFmtId="0" fontId="69" fillId="0" borderId="0" xfId="0" applyFont="1" applyProtection="1">
      <protection locked="0"/>
    </xf>
    <xf numFmtId="0" fontId="52" fillId="13" borderId="0" xfId="0" applyFont="1" applyFill="1" applyAlignment="1" applyProtection="1">
      <alignment horizontal="center" vertical="center"/>
      <protection locked="0"/>
    </xf>
    <xf numFmtId="0" fontId="45" fillId="0" borderId="15" xfId="0" applyFont="1" applyBorder="1" applyAlignment="1" applyProtection="1">
      <alignment horizontal="center" vertical="center" wrapText="1"/>
      <protection locked="0"/>
    </xf>
    <xf numFmtId="0" fontId="45" fillId="0" borderId="0" xfId="0" applyFont="1" applyAlignment="1" applyProtection="1">
      <alignment horizontal="center" vertical="center"/>
      <protection locked="0"/>
    </xf>
    <xf numFmtId="0" fontId="45" fillId="13" borderId="0" xfId="0" applyFont="1" applyFill="1" applyAlignment="1" applyProtection="1">
      <alignment horizontal="center" vertical="center"/>
      <protection locked="0"/>
    </xf>
    <xf numFmtId="0" fontId="45" fillId="13" borderId="0" xfId="0" applyFont="1" applyFill="1" applyAlignment="1" applyProtection="1">
      <alignment vertical="center"/>
      <protection locked="0"/>
    </xf>
    <xf numFmtId="0" fontId="51" fillId="0" borderId="0" xfId="0" applyFont="1" applyAlignment="1" applyProtection="1">
      <alignment horizontal="center" vertical="center"/>
      <protection locked="0"/>
    </xf>
    <xf numFmtId="0" fontId="84" fillId="0" borderId="0" xfId="0" applyFont="1" applyAlignment="1" applyProtection="1">
      <alignment vertical="center"/>
      <protection locked="0"/>
    </xf>
    <xf numFmtId="0" fontId="9" fillId="0" borderId="0" xfId="0" applyFont="1" applyAlignment="1" applyProtection="1">
      <alignment vertical="center"/>
      <protection locked="0"/>
    </xf>
    <xf numFmtId="0" fontId="9" fillId="0" borderId="1" xfId="0" applyFont="1" applyBorder="1" applyAlignment="1" applyProtection="1">
      <alignment horizontal="center" vertical="center"/>
      <protection locked="0"/>
    </xf>
    <xf numFmtId="0" fontId="9" fillId="13" borderId="1" xfId="0"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4" fillId="0" borderId="0" xfId="0" applyFont="1" applyProtection="1">
      <protection locked="0"/>
    </xf>
    <xf numFmtId="0" fontId="9" fillId="4" borderId="1" xfId="0" applyFont="1" applyFill="1" applyBorder="1" applyAlignment="1" applyProtection="1">
      <alignment horizontal="center" vertical="center"/>
      <protection locked="0"/>
    </xf>
    <xf numFmtId="0" fontId="41" fillId="14" borderId="1" xfId="0" applyFont="1" applyFill="1" applyBorder="1" applyAlignment="1" applyProtection="1">
      <alignment horizontal="center" vertical="center"/>
      <protection locked="0"/>
    </xf>
    <xf numFmtId="0" fontId="44" fillId="0" borderId="0" xfId="0" applyFont="1" applyAlignment="1" applyProtection="1">
      <alignment vertical="center"/>
      <protection locked="0"/>
    </xf>
    <xf numFmtId="0" fontId="61" fillId="5" borderId="1" xfId="0" applyFont="1" applyFill="1"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41" fillId="3" borderId="1" xfId="0" applyFont="1" applyFill="1" applyBorder="1" applyAlignment="1" applyProtection="1">
      <alignment horizontal="center" vertical="center"/>
      <protection locked="0"/>
    </xf>
    <xf numFmtId="0" fontId="47" fillId="0" borderId="0" xfId="0" applyFont="1" applyAlignment="1" applyProtection="1">
      <alignment vertical="center"/>
      <protection locked="0"/>
    </xf>
    <xf numFmtId="0" fontId="58" fillId="13" borderId="0" xfId="0" applyFont="1" applyFill="1" applyAlignment="1" applyProtection="1">
      <alignment horizontal="center" vertical="center"/>
      <protection locked="0"/>
    </xf>
    <xf numFmtId="0" fontId="58" fillId="13" borderId="0" xfId="0" applyFont="1" applyFill="1" applyAlignment="1" applyProtection="1">
      <alignment horizontal="center" vertical="center" wrapText="1"/>
      <protection locked="0"/>
    </xf>
    <xf numFmtId="0" fontId="58" fillId="0" borderId="0" xfId="0" applyFont="1" applyAlignment="1" applyProtection="1">
      <alignment horizontal="center" vertical="center"/>
      <protection locked="0"/>
    </xf>
    <xf numFmtId="0" fontId="39" fillId="0" borderId="0" xfId="0" applyFont="1" applyAlignment="1" applyProtection="1">
      <alignment horizontal="center" vertical="center"/>
      <protection locked="0"/>
    </xf>
    <xf numFmtId="0" fontId="46" fillId="6" borderId="5" xfId="0" applyFont="1" applyFill="1" applyBorder="1" applyAlignment="1" applyProtection="1">
      <alignment horizontal="center" vertical="center"/>
      <protection locked="0"/>
    </xf>
    <xf numFmtId="0" fontId="46" fillId="6" borderId="7" xfId="0" applyFont="1" applyFill="1" applyBorder="1" applyAlignment="1" applyProtection="1">
      <alignment horizontal="center" vertical="center"/>
      <protection locked="0"/>
    </xf>
    <xf numFmtId="0" fontId="54" fillId="0" borderId="18" xfId="0" applyFont="1" applyBorder="1" applyAlignment="1" applyProtection="1">
      <alignment horizontal="left" vertical="center" wrapText="1"/>
      <protection locked="0"/>
    </xf>
    <xf numFmtId="0" fontId="54" fillId="0" borderId="18" xfId="0" applyFont="1" applyBorder="1" applyAlignment="1" applyProtection="1">
      <alignment horizontal="center" vertical="center"/>
      <protection locked="0"/>
    </xf>
    <xf numFmtId="0" fontId="54" fillId="0" borderId="0" xfId="0" applyFont="1" applyProtection="1">
      <protection locked="0"/>
    </xf>
    <xf numFmtId="0" fontId="54" fillId="0" borderId="18" xfId="1" applyFont="1" applyBorder="1" applyAlignment="1" applyProtection="1">
      <alignment horizontal="center" vertical="center"/>
      <protection locked="0"/>
    </xf>
    <xf numFmtId="0" fontId="54" fillId="6" borderId="18" xfId="1" applyFont="1" applyFill="1" applyBorder="1" applyAlignment="1" applyProtection="1">
      <alignment horizontal="center" vertical="center"/>
      <protection locked="0"/>
    </xf>
    <xf numFmtId="0" fontId="54" fillId="0" borderId="18" xfId="0" applyFont="1" applyBorder="1" applyAlignment="1" applyProtection="1">
      <alignment horizontal="left" vertical="center"/>
      <protection locked="0"/>
    </xf>
    <xf numFmtId="1" fontId="54" fillId="0" borderId="18" xfId="0" applyNumberFormat="1" applyFont="1" applyBorder="1" applyAlignment="1" applyProtection="1">
      <alignment horizontal="center" vertical="center"/>
      <protection locked="0"/>
    </xf>
    <xf numFmtId="9" fontId="54" fillId="0" borderId="18" xfId="0" applyNumberFormat="1" applyFont="1" applyBorder="1" applyAlignment="1" applyProtection="1">
      <alignment horizontal="left" vertical="center" wrapText="1"/>
      <protection locked="0"/>
    </xf>
    <xf numFmtId="0" fontId="54" fillId="0" borderId="49" xfId="1" applyFont="1" applyBorder="1" applyAlignment="1" applyProtection="1">
      <alignment horizontal="center" vertical="center"/>
      <protection locked="0"/>
    </xf>
    <xf numFmtId="0" fontId="61" fillId="0" borderId="0" xfId="0" applyFont="1" applyProtection="1">
      <protection locked="0"/>
    </xf>
    <xf numFmtId="0" fontId="9" fillId="0" borderId="22" xfId="0" applyFont="1" applyBorder="1" applyAlignment="1" applyProtection="1">
      <alignment horizontal="center" vertical="center"/>
      <protection locked="0"/>
    </xf>
    <xf numFmtId="0" fontId="51" fillId="0" borderId="0" xfId="1" applyFont="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21" xfId="0" applyFont="1" applyBorder="1" applyAlignment="1" applyProtection="1">
      <alignment horizontal="center" vertical="center"/>
      <protection locked="0"/>
    </xf>
    <xf numFmtId="0" fontId="44" fillId="0" borderId="22" xfId="0" applyFont="1" applyBorder="1" applyAlignment="1" applyProtection="1">
      <alignment horizontal="center" vertical="center"/>
      <protection locked="0"/>
    </xf>
    <xf numFmtId="0" fontId="44" fillId="0" borderId="0" xfId="0" applyFont="1" applyProtection="1">
      <protection locked="0"/>
    </xf>
    <xf numFmtId="0" fontId="0" fillId="0" borderId="23" xfId="0" applyBorder="1" applyProtection="1">
      <protection locked="0"/>
    </xf>
    <xf numFmtId="0" fontId="0" fillId="0" borderId="19" xfId="0" applyBorder="1" applyProtection="1">
      <protection locked="0"/>
    </xf>
    <xf numFmtId="9" fontId="47" fillId="6" borderId="18" xfId="0" applyNumberFormat="1" applyFont="1" applyFill="1" applyBorder="1" applyAlignment="1" applyProtection="1">
      <alignment horizontal="center" vertical="center"/>
      <protection locked="0"/>
    </xf>
    <xf numFmtId="0" fontId="9" fillId="0" borderId="23" xfId="0" applyFont="1" applyBorder="1" applyProtection="1">
      <protection locked="0"/>
    </xf>
    <xf numFmtId="0" fontId="9" fillId="0" borderId="19" xfId="0" applyFont="1" applyBorder="1" applyProtection="1">
      <protection locked="0"/>
    </xf>
    <xf numFmtId="0" fontId="9" fillId="0" borderId="24" xfId="0" applyFont="1" applyBorder="1" applyProtection="1">
      <protection locked="0"/>
    </xf>
    <xf numFmtId="0" fontId="9" fillId="0" borderId="25" xfId="0" applyFont="1" applyBorder="1" applyProtection="1">
      <protection locked="0"/>
    </xf>
    <xf numFmtId="0" fontId="47" fillId="0" borderId="0" xfId="0" applyFont="1" applyProtection="1">
      <protection locked="0"/>
    </xf>
    <xf numFmtId="0" fontId="46" fillId="0" borderId="0" xfId="0" applyFont="1" applyProtection="1">
      <protection locked="0"/>
    </xf>
    <xf numFmtId="0" fontId="52" fillId="0" borderId="1" xfId="0" applyFont="1" applyBorder="1" applyProtection="1">
      <protection locked="0"/>
    </xf>
    <xf numFmtId="0" fontId="39" fillId="0" borderId="1" xfId="0" applyFont="1" applyBorder="1" applyProtection="1">
      <protection locked="0"/>
    </xf>
    <xf numFmtId="0" fontId="45" fillId="13" borderId="0" xfId="0" applyFont="1" applyFill="1" applyProtection="1">
      <protection locked="0"/>
    </xf>
    <xf numFmtId="0" fontId="9" fillId="13" borderId="0" xfId="0" applyFont="1" applyFill="1" applyProtection="1">
      <protection locked="0"/>
    </xf>
    <xf numFmtId="0" fontId="86" fillId="0" borderId="0" xfId="0" applyFont="1" applyAlignment="1" applyProtection="1">
      <alignment horizontal="center"/>
      <protection locked="0"/>
    </xf>
    <xf numFmtId="0" fontId="5" fillId="13" borderId="0" xfId="0" applyFont="1" applyFill="1" applyProtection="1">
      <protection locked="0"/>
    </xf>
    <xf numFmtId="0" fontId="9" fillId="0" borderId="0" xfId="1" applyFont="1" applyAlignment="1" applyProtection="1">
      <alignment horizontal="left" vertical="center" wrapText="1"/>
      <protection locked="0"/>
    </xf>
    <xf numFmtId="0" fontId="9" fillId="13" borderId="0" xfId="0" applyFont="1" applyFill="1" applyAlignment="1" applyProtection="1">
      <alignment horizontal="center" vertical="center"/>
      <protection locked="0"/>
    </xf>
    <xf numFmtId="170" fontId="9" fillId="0" borderId="0" xfId="1" applyNumberFormat="1" applyFont="1" applyAlignment="1" applyProtection="1">
      <alignment horizontal="center" wrapText="1"/>
      <protection locked="0"/>
    </xf>
    <xf numFmtId="0" fontId="8" fillId="0" borderId="0" xfId="1" applyFont="1" applyAlignment="1" applyProtection="1">
      <alignment horizontal="left" vertical="center" wrapText="1"/>
      <protection locked="0"/>
    </xf>
    <xf numFmtId="0" fontId="8" fillId="0" borderId="0" xfId="0" applyFont="1" applyProtection="1">
      <protection locked="0"/>
    </xf>
    <xf numFmtId="170" fontId="9" fillId="0" borderId="0" xfId="0" applyNumberFormat="1" applyFont="1" applyAlignment="1" applyProtection="1">
      <alignment horizontal="center" vertical="center"/>
      <protection locked="0"/>
    </xf>
    <xf numFmtId="0" fontId="9" fillId="0" borderId="0" xfId="0" applyFont="1" applyAlignment="1" applyProtection="1">
      <alignment horizontal="center"/>
      <protection locked="0"/>
    </xf>
    <xf numFmtId="0" fontId="47" fillId="0" borderId="0" xfId="0" applyFont="1" applyAlignment="1" applyProtection="1">
      <alignment horizontal="right" vertical="center"/>
      <protection locked="0"/>
    </xf>
    <xf numFmtId="0" fontId="9" fillId="0" borderId="1" xfId="0" applyFont="1" applyBorder="1" applyProtection="1">
      <protection locked="0"/>
    </xf>
    <xf numFmtId="0" fontId="9" fillId="13" borderId="0" xfId="0" applyFont="1" applyFill="1" applyAlignment="1" applyProtection="1">
      <alignment horizontal="center"/>
      <protection locked="0"/>
    </xf>
    <xf numFmtId="0" fontId="118" fillId="0" borderId="0" xfId="0" applyFont="1" applyAlignment="1" applyProtection="1">
      <alignment vertical="center"/>
      <protection locked="0"/>
    </xf>
    <xf numFmtId="0" fontId="61" fillId="0" borderId="0" xfId="0" applyFont="1" applyAlignment="1" applyProtection="1">
      <alignment horizontal="center"/>
      <protection locked="0"/>
    </xf>
    <xf numFmtId="0" fontId="61" fillId="0" borderId="0" xfId="0" applyFont="1" applyAlignment="1" applyProtection="1">
      <alignment horizontal="center" vertical="center"/>
      <protection locked="0"/>
    </xf>
    <xf numFmtId="2" fontId="9" fillId="0" borderId="0" xfId="0" applyNumberFormat="1" applyFont="1" applyAlignment="1" applyProtection="1">
      <alignment horizontal="center" vertical="center"/>
      <protection locked="0"/>
    </xf>
    <xf numFmtId="0" fontId="118" fillId="0" borderId="0" xfId="0" applyFont="1" applyAlignment="1" applyProtection="1">
      <alignment horizontal="center" vertical="center"/>
      <protection locked="0"/>
    </xf>
    <xf numFmtId="0" fontId="9" fillId="0" borderId="12" xfId="0" applyFont="1" applyBorder="1" applyProtection="1">
      <protection locked="0"/>
    </xf>
    <xf numFmtId="0" fontId="9" fillId="0" borderId="13" xfId="0" applyFont="1" applyBorder="1" applyProtection="1">
      <protection locked="0"/>
    </xf>
    <xf numFmtId="0" fontId="9" fillId="0" borderId="53" xfId="0" applyFont="1" applyBorder="1" applyProtection="1">
      <protection locked="0"/>
    </xf>
    <xf numFmtId="0" fontId="9" fillId="0" borderId="14" xfId="0" applyFont="1" applyBorder="1" applyProtection="1">
      <protection locked="0"/>
    </xf>
    <xf numFmtId="0" fontId="3" fillId="0" borderId="15" xfId="0" applyFont="1" applyBorder="1" applyProtection="1">
      <protection locked="0"/>
    </xf>
    <xf numFmtId="0" fontId="3" fillId="0" borderId="55" xfId="0" applyFont="1" applyBorder="1" applyProtection="1">
      <protection locked="0"/>
    </xf>
    <xf numFmtId="0" fontId="3" fillId="0" borderId="1" xfId="0" applyFont="1" applyBorder="1" applyAlignment="1" applyProtection="1">
      <alignment horizontal="center" vertical="center"/>
      <protection locked="0"/>
    </xf>
    <xf numFmtId="0" fontId="9" fillId="15" borderId="12" xfId="0" applyFont="1" applyFill="1" applyBorder="1" applyProtection="1">
      <protection locked="0"/>
    </xf>
    <xf numFmtId="0" fontId="9" fillId="6" borderId="13" xfId="0" applyFont="1" applyFill="1" applyBorder="1" applyProtection="1">
      <protection locked="0"/>
    </xf>
    <xf numFmtId="0" fontId="9" fillId="6" borderId="53" xfId="0" applyFont="1" applyFill="1" applyBorder="1" applyProtection="1">
      <protection locked="0"/>
    </xf>
    <xf numFmtId="0" fontId="9" fillId="6" borderId="1" xfId="0" applyFont="1" applyFill="1" applyBorder="1" applyAlignment="1" applyProtection="1">
      <alignment horizontal="center" vertical="center"/>
      <protection locked="0"/>
    </xf>
    <xf numFmtId="0" fontId="9" fillId="0" borderId="15" xfId="0" applyFont="1" applyBorder="1" applyProtection="1">
      <protection locked="0"/>
    </xf>
    <xf numFmtId="0" fontId="9" fillId="0" borderId="55" xfId="0" applyFont="1" applyBorder="1" applyProtection="1">
      <protection locked="0"/>
    </xf>
    <xf numFmtId="0" fontId="8" fillId="15" borderId="13" xfId="0" applyFont="1" applyFill="1" applyBorder="1" applyProtection="1">
      <protection locked="0"/>
    </xf>
    <xf numFmtId="0" fontId="9" fillId="15" borderId="53" xfId="0" applyFont="1" applyFill="1" applyBorder="1" applyProtection="1">
      <protection locked="0"/>
    </xf>
    <xf numFmtId="0" fontId="9" fillId="15" borderId="1" xfId="0" applyFont="1" applyFill="1" applyBorder="1" applyAlignment="1" applyProtection="1">
      <alignment horizontal="center" vertical="center"/>
      <protection locked="0"/>
    </xf>
    <xf numFmtId="0" fontId="8" fillId="0" borderId="15" xfId="0"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9" fillId="0" borderId="7" xfId="0" applyFont="1" applyBorder="1" applyProtection="1">
      <protection locked="0"/>
    </xf>
    <xf numFmtId="0" fontId="8" fillId="15" borderId="12" xfId="0" applyFont="1" applyFill="1" applyBorder="1" applyProtection="1">
      <protection locked="0"/>
    </xf>
    <xf numFmtId="0" fontId="9" fillId="0" borderId="11" xfId="0" applyFont="1" applyBorder="1" applyProtection="1">
      <protection locked="0"/>
    </xf>
    <xf numFmtId="0" fontId="9" fillId="0" borderId="54" xfId="0" applyFont="1" applyBorder="1" applyProtection="1">
      <protection locked="0"/>
    </xf>
    <xf numFmtId="0" fontId="9" fillId="15" borderId="14" xfId="0" applyFont="1" applyFill="1" applyBorder="1" applyProtection="1">
      <protection locked="0"/>
    </xf>
    <xf numFmtId="0" fontId="8" fillId="15" borderId="15" xfId="0" applyFont="1" applyFill="1" applyBorder="1" applyProtection="1">
      <protection locked="0"/>
    </xf>
    <xf numFmtId="0" fontId="9" fillId="15" borderId="55" xfId="0" applyFont="1" applyFill="1" applyBorder="1" applyProtection="1">
      <protection locked="0"/>
    </xf>
    <xf numFmtId="0" fontId="46" fillId="0" borderId="0" xfId="4" applyFont="1" applyProtection="1">
      <protection locked="0"/>
    </xf>
    <xf numFmtId="0" fontId="3" fillId="6" borderId="1" xfId="0" applyFont="1" applyFill="1" applyBorder="1" applyAlignment="1">
      <alignment horizontal="center" vertical="center"/>
    </xf>
    <xf numFmtId="0" fontId="54" fillId="0" borderId="18" xfId="1" applyFont="1" applyBorder="1" applyAlignment="1">
      <alignment horizontal="center" vertical="center"/>
    </xf>
    <xf numFmtId="9" fontId="45" fillId="13" borderId="85" xfId="1" applyNumberFormat="1" applyFont="1" applyFill="1" applyBorder="1" applyAlignment="1">
      <alignment horizontal="center" vertical="center"/>
    </xf>
    <xf numFmtId="1" fontId="51" fillId="0" borderId="18" xfId="1" applyNumberFormat="1" applyFont="1" applyBorder="1" applyAlignment="1">
      <alignment horizontal="center" vertical="center"/>
    </xf>
    <xf numFmtId="1" fontId="51" fillId="0" borderId="68" xfId="1" applyNumberFormat="1" applyFont="1" applyBorder="1" applyAlignment="1">
      <alignment horizontal="center" vertical="center"/>
    </xf>
    <xf numFmtId="1" fontId="45" fillId="13" borderId="85" xfId="1" applyNumberFormat="1" applyFont="1" applyFill="1" applyBorder="1" applyAlignment="1">
      <alignment horizontal="center" vertical="center"/>
    </xf>
    <xf numFmtId="0" fontId="84" fillId="0" borderId="0" xfId="0" applyFont="1" applyAlignment="1" applyProtection="1">
      <alignment horizontal="left"/>
      <protection locked="0"/>
    </xf>
    <xf numFmtId="0" fontId="62" fillId="6" borderId="48" xfId="5" applyFont="1" applyFill="1" applyBorder="1" applyAlignment="1" applyProtection="1">
      <alignment horizontal="center" vertical="center" wrapText="1"/>
      <protection locked="0"/>
    </xf>
    <xf numFmtId="0" fontId="47" fillId="0" borderId="0" xfId="0" applyFont="1" applyAlignment="1" applyProtection="1">
      <alignment horizontal="center"/>
      <protection locked="0"/>
    </xf>
    <xf numFmtId="0" fontId="91" fillId="0" borderId="0" xfId="0" applyFont="1" applyAlignment="1" applyProtection="1">
      <alignment horizontal="left"/>
      <protection locked="0"/>
    </xf>
    <xf numFmtId="0" fontId="91" fillId="0" borderId="0" xfId="0" applyFont="1" applyAlignment="1" applyProtection="1">
      <alignment horizontal="center" vertical="center"/>
      <protection locked="0"/>
    </xf>
    <xf numFmtId="0" fontId="113" fillId="0" borderId="0" xfId="0" applyFont="1" applyAlignment="1" applyProtection="1">
      <alignment vertical="center"/>
      <protection locked="0"/>
    </xf>
    <xf numFmtId="0" fontId="53" fillId="0" borderId="0" xfId="0" applyFont="1" applyProtection="1">
      <protection locked="0"/>
    </xf>
    <xf numFmtId="0" fontId="52" fillId="13" borderId="0" xfId="0" applyFont="1" applyFill="1" applyAlignment="1" applyProtection="1">
      <alignment vertical="center"/>
      <protection locked="0"/>
    </xf>
    <xf numFmtId="0" fontId="39" fillId="0" borderId="0" xfId="0" applyFont="1" applyAlignment="1" applyProtection="1">
      <alignment vertical="center"/>
      <protection locked="0"/>
    </xf>
    <xf numFmtId="0" fontId="48" fillId="9" borderId="29" xfId="0" applyFont="1" applyFill="1" applyBorder="1" applyAlignment="1" applyProtection="1">
      <alignment horizontal="center" vertical="center" wrapText="1"/>
      <protection locked="0"/>
    </xf>
    <xf numFmtId="0" fontId="48" fillId="9" borderId="32" xfId="0" applyFont="1" applyFill="1" applyBorder="1" applyAlignment="1" applyProtection="1">
      <alignment vertical="center" wrapText="1"/>
      <protection locked="0"/>
    </xf>
    <xf numFmtId="0" fontId="77" fillId="0" borderId="18" xfId="0" applyFont="1" applyBorder="1" applyAlignment="1" applyProtection="1">
      <alignment horizontal="center" vertical="center" wrapText="1"/>
      <protection locked="0"/>
    </xf>
    <xf numFmtId="0" fontId="61" fillId="0" borderId="18" xfId="1" applyFont="1" applyBorder="1" applyAlignment="1" applyProtection="1">
      <alignment horizontal="center" vertical="center"/>
      <protection locked="0"/>
    </xf>
    <xf numFmtId="0" fontId="48" fillId="0" borderId="30" xfId="0" applyFont="1" applyBorder="1" applyAlignment="1" applyProtection="1">
      <alignment horizontal="center" vertical="center" wrapText="1"/>
      <protection locked="0"/>
    </xf>
    <xf numFmtId="0" fontId="48" fillId="0" borderId="0" xfId="0" applyFont="1" applyAlignment="1" applyProtection="1">
      <alignment vertical="center" wrapText="1"/>
      <protection locked="0"/>
    </xf>
    <xf numFmtId="0" fontId="48" fillId="9" borderId="38" xfId="0" applyFont="1" applyFill="1" applyBorder="1" applyAlignment="1" applyProtection="1">
      <alignment horizontal="center" vertical="center" wrapText="1"/>
      <protection locked="0"/>
    </xf>
    <xf numFmtId="0" fontId="48" fillId="9" borderId="39" xfId="0" applyFont="1" applyFill="1" applyBorder="1" applyAlignment="1" applyProtection="1">
      <alignment vertical="center" wrapText="1"/>
      <protection locked="0"/>
    </xf>
    <xf numFmtId="0" fontId="48" fillId="0" borderId="29" xfId="0" applyFont="1" applyBorder="1" applyAlignment="1" applyProtection="1">
      <alignment horizontal="center" vertical="center" wrapText="1"/>
      <protection locked="0"/>
    </xf>
    <xf numFmtId="0" fontId="48" fillId="0" borderId="32" xfId="0" applyFont="1" applyBorder="1" applyAlignment="1" applyProtection="1">
      <alignment vertical="center" wrapText="1"/>
      <protection locked="0"/>
    </xf>
    <xf numFmtId="0" fontId="48" fillId="0" borderId="31" xfId="0" applyFont="1" applyBorder="1" applyAlignment="1" applyProtection="1">
      <alignment horizontal="center" vertical="center" wrapText="1"/>
      <protection locked="0"/>
    </xf>
    <xf numFmtId="0" fontId="48" fillId="0" borderId="35" xfId="0" applyFont="1" applyBorder="1" applyAlignment="1" applyProtection="1">
      <alignment vertical="center" wrapText="1"/>
      <protection locked="0"/>
    </xf>
    <xf numFmtId="0" fontId="9" fillId="0" borderId="18" xfId="0" applyFont="1" applyBorder="1" applyProtection="1">
      <protection locked="0"/>
    </xf>
    <xf numFmtId="0" fontId="9" fillId="0" borderId="86" xfId="0" applyFont="1" applyBorder="1" applyAlignment="1" applyProtection="1">
      <alignment horizontal="center" vertical="center"/>
      <protection locked="0"/>
    </xf>
    <xf numFmtId="0" fontId="9" fillId="6" borderId="0" xfId="0" applyFont="1" applyFill="1" applyProtection="1">
      <protection locked="0"/>
    </xf>
    <xf numFmtId="0" fontId="52" fillId="0" borderId="0" xfId="0" applyFont="1" applyProtection="1">
      <protection locked="0"/>
    </xf>
    <xf numFmtId="0" fontId="58" fillId="0" borderId="0" xfId="0" applyFont="1" applyProtection="1">
      <protection locked="0"/>
    </xf>
    <xf numFmtId="0" fontId="39" fillId="0" borderId="0" xfId="0" applyFont="1" applyProtection="1">
      <protection locked="0"/>
    </xf>
    <xf numFmtId="0" fontId="3" fillId="0" borderId="0" xfId="5" applyAlignment="1" applyProtection="1">
      <alignment horizontal="center"/>
      <protection locked="0"/>
    </xf>
    <xf numFmtId="0" fontId="148" fillId="0" borderId="0" xfId="5" applyFont="1" applyProtection="1">
      <protection locked="0"/>
    </xf>
    <xf numFmtId="0" fontId="144" fillId="0" borderId="0" xfId="4" applyProtection="1">
      <protection locked="0"/>
    </xf>
    <xf numFmtId="0" fontId="148" fillId="0" borderId="0" xfId="0" applyFont="1" applyProtection="1">
      <protection locked="0"/>
    </xf>
    <xf numFmtId="0" fontId="7" fillId="6" borderId="1" xfId="0" applyFont="1" applyFill="1" applyBorder="1"/>
    <xf numFmtId="0" fontId="47" fillId="0" borderId="15" xfId="0" applyFont="1" applyBorder="1" applyProtection="1">
      <protection locked="0"/>
    </xf>
    <xf numFmtId="0" fontId="84" fillId="0" borderId="0" xfId="0" applyFont="1" applyAlignment="1">
      <alignment horizontal="left" vertical="center"/>
    </xf>
    <xf numFmtId="0" fontId="62" fillId="0" borderId="0" xfId="7" applyFont="1" applyAlignment="1">
      <alignment vertical="top"/>
    </xf>
    <xf numFmtId="0" fontId="62" fillId="0" borderId="0" xfId="7" applyFont="1" applyAlignment="1">
      <alignment horizontal="left" vertical="top"/>
    </xf>
    <xf numFmtId="0" fontId="2" fillId="13" borderId="0" xfId="0" applyFont="1" applyFill="1" applyProtection="1">
      <protection locked="0"/>
    </xf>
    <xf numFmtId="0" fontId="45" fillId="13" borderId="0" xfId="0" quotePrefix="1" applyFont="1" applyFill="1" applyProtection="1">
      <protection locked="0"/>
    </xf>
    <xf numFmtId="0" fontId="47" fillId="6" borderId="18" xfId="0" applyFont="1" applyFill="1" applyBorder="1" applyAlignment="1" applyProtection="1">
      <alignment horizontal="center" vertical="center"/>
      <protection locked="0"/>
    </xf>
    <xf numFmtId="0" fontId="85" fillId="13" borderId="0" xfId="0" applyFont="1" applyFill="1" applyAlignment="1" applyProtection="1">
      <alignment horizontal="left" vertical="center"/>
      <protection locked="0"/>
    </xf>
    <xf numFmtId="0" fontId="85" fillId="13" borderId="0" xfId="0" quotePrefix="1" applyFont="1" applyFill="1" applyAlignment="1" applyProtection="1">
      <alignment horizontal="left" vertical="center"/>
      <protection locked="0"/>
    </xf>
    <xf numFmtId="0" fontId="39" fillId="0" borderId="48" xfId="0" applyFont="1" applyBorder="1" applyAlignment="1" applyProtection="1">
      <alignment horizontal="center" vertical="center" wrapText="1"/>
      <protection locked="0"/>
    </xf>
    <xf numFmtId="0" fontId="52" fillId="13" borderId="0" xfId="0" applyFont="1" applyFill="1" applyAlignment="1" applyProtection="1">
      <alignment horizontal="left" vertical="center" wrapText="1"/>
      <protection locked="0"/>
    </xf>
    <xf numFmtId="0" fontId="45" fillId="7" borderId="0" xfId="0" applyFont="1" applyFill="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9" fillId="13" borderId="7" xfId="0" applyFont="1" applyFill="1" applyBorder="1" applyAlignment="1" applyProtection="1">
      <alignment horizontal="center" vertical="center"/>
      <protection locked="0"/>
    </xf>
    <xf numFmtId="0" fontId="9" fillId="4" borderId="7" xfId="0" applyFont="1" applyFill="1" applyBorder="1" applyAlignment="1" applyProtection="1">
      <alignment horizontal="center" vertical="center"/>
      <protection locked="0"/>
    </xf>
    <xf numFmtId="0" fontId="0" fillId="0" borderId="11" xfId="0" applyBorder="1" applyAlignment="1" applyProtection="1">
      <alignment vertical="center"/>
      <protection locked="0"/>
    </xf>
    <xf numFmtId="0" fontId="0" fillId="0" borderId="0" xfId="0" applyAlignment="1" applyProtection="1">
      <alignment vertical="center"/>
      <protection locked="0"/>
    </xf>
    <xf numFmtId="0" fontId="41" fillId="14" borderId="7" xfId="0" applyFont="1" applyFill="1" applyBorder="1" applyAlignment="1" applyProtection="1">
      <alignment horizontal="center" vertical="center"/>
      <protection locked="0"/>
    </xf>
    <xf numFmtId="0" fontId="61" fillId="5" borderId="7" xfId="0" applyFont="1" applyFill="1" applyBorder="1" applyAlignment="1" applyProtection="1">
      <alignment horizontal="center" vertical="center"/>
      <protection locked="0"/>
    </xf>
    <xf numFmtId="0" fontId="41" fillId="3" borderId="7" xfId="0" applyFont="1" applyFill="1" applyBorder="1" applyAlignment="1" applyProtection="1">
      <alignment horizontal="center" vertical="center"/>
      <protection locked="0"/>
    </xf>
    <xf numFmtId="0" fontId="58" fillId="7" borderId="0" xfId="0" applyFont="1" applyFill="1" applyAlignment="1" applyProtection="1">
      <alignment horizontal="center" vertical="center" wrapText="1"/>
      <protection locked="0"/>
    </xf>
    <xf numFmtId="0" fontId="64" fillId="0" borderId="0" xfId="0" applyFont="1" applyAlignment="1" applyProtection="1">
      <alignment horizontal="center" vertical="center"/>
      <protection locked="0"/>
    </xf>
    <xf numFmtId="0" fontId="51" fillId="0" borderId="18" xfId="1" applyFont="1" applyBorder="1" applyAlignment="1" applyProtection="1">
      <alignment horizontal="center" vertical="center"/>
      <protection locked="0"/>
    </xf>
    <xf numFmtId="0" fontId="46" fillId="0" borderId="0" xfId="0" applyFont="1" applyAlignment="1" applyProtection="1">
      <alignment vertical="center"/>
      <protection locked="0"/>
    </xf>
    <xf numFmtId="0" fontId="9" fillId="0" borderId="12" xfId="0" applyFont="1" applyBorder="1" applyAlignment="1" applyProtection="1">
      <alignment horizontal="left"/>
      <protection locked="0"/>
    </xf>
    <xf numFmtId="0" fontId="9" fillId="6" borderId="2" xfId="0" applyFont="1" applyFill="1" applyBorder="1" applyProtection="1">
      <protection locked="0"/>
    </xf>
    <xf numFmtId="0" fontId="9" fillId="0" borderId="11" xfId="0" applyFont="1" applyBorder="1" applyAlignment="1" applyProtection="1">
      <alignment horizontal="left"/>
      <protection locked="0"/>
    </xf>
    <xf numFmtId="0" fontId="9" fillId="0" borderId="3" xfId="0" applyFont="1" applyBorder="1" applyProtection="1">
      <protection locked="0"/>
    </xf>
    <xf numFmtId="0" fontId="9" fillId="6" borderId="3" xfId="0" applyFont="1" applyFill="1" applyBorder="1" applyProtection="1">
      <protection locked="0"/>
    </xf>
    <xf numFmtId="0" fontId="9" fillId="0" borderId="14" xfId="0" applyFont="1" applyBorder="1" applyAlignment="1" applyProtection="1">
      <alignment horizontal="left"/>
      <protection locked="0"/>
    </xf>
    <xf numFmtId="0" fontId="9" fillId="0" borderId="4" xfId="0" applyFont="1" applyBorder="1" applyProtection="1">
      <protection locked="0"/>
    </xf>
    <xf numFmtId="0" fontId="8" fillId="0" borderId="12" xfId="0" applyFont="1" applyBorder="1" applyAlignment="1" applyProtection="1">
      <alignment horizontal="left"/>
      <protection locked="0"/>
    </xf>
    <xf numFmtId="0" fontId="8" fillId="15" borderId="3" xfId="0" applyFont="1" applyFill="1" applyBorder="1" applyProtection="1">
      <protection locked="0"/>
    </xf>
    <xf numFmtId="0" fontId="8" fillId="15" borderId="2" xfId="0" applyFont="1" applyFill="1" applyBorder="1" applyProtection="1">
      <protection locked="0"/>
    </xf>
    <xf numFmtId="0" fontId="9" fillId="15" borderId="1" xfId="0" applyFont="1" applyFill="1" applyBorder="1" applyAlignment="1" applyProtection="1">
      <alignment horizontal="center"/>
      <protection locked="0"/>
    </xf>
    <xf numFmtId="0" fontId="8" fillId="0" borderId="3" xfId="0" applyFont="1" applyBorder="1" applyProtection="1">
      <protection locked="0"/>
    </xf>
    <xf numFmtId="0" fontId="9" fillId="0" borderId="1" xfId="0" applyFont="1" applyBorder="1" applyAlignment="1" applyProtection="1">
      <alignment horizontal="center"/>
      <protection locked="0"/>
    </xf>
    <xf numFmtId="0" fontId="8" fillId="15" borderId="0" xfId="0" applyFont="1" applyFill="1" applyProtection="1">
      <protection locked="0"/>
    </xf>
    <xf numFmtId="0" fontId="8" fillId="15" borderId="4" xfId="0" applyFont="1" applyFill="1" applyBorder="1" applyProtection="1">
      <protection locked="0"/>
    </xf>
    <xf numFmtId="0" fontId="8" fillId="0" borderId="2" xfId="0" applyFont="1" applyBorder="1" applyAlignment="1" applyProtection="1">
      <alignment horizontal="left"/>
      <protection locked="0"/>
    </xf>
    <xf numFmtId="0" fontId="8" fillId="18" borderId="2" xfId="0" applyFont="1" applyFill="1" applyBorder="1" applyProtection="1">
      <protection locked="0"/>
    </xf>
    <xf numFmtId="0" fontId="9" fillId="18" borderId="1" xfId="0" applyFont="1" applyFill="1" applyBorder="1" applyAlignment="1" applyProtection="1">
      <alignment horizontal="center" vertical="center"/>
      <protection locked="0"/>
    </xf>
    <xf numFmtId="0" fontId="8" fillId="0" borderId="3" xfId="0" applyFont="1" applyBorder="1" applyAlignment="1" applyProtection="1">
      <alignment horizontal="left"/>
      <protection locked="0"/>
    </xf>
    <xf numFmtId="0" fontId="9" fillId="0" borderId="3" xfId="0" applyFont="1" applyBorder="1" applyAlignment="1" applyProtection="1">
      <alignment horizontal="left"/>
      <protection locked="0"/>
    </xf>
    <xf numFmtId="0" fontId="9" fillId="0" borderId="4" xfId="0" applyFont="1" applyBorder="1" applyAlignment="1" applyProtection="1">
      <alignment horizontal="left"/>
      <protection locked="0"/>
    </xf>
    <xf numFmtId="0" fontId="8" fillId="0" borderId="4" xfId="0" applyFont="1" applyBorder="1" applyProtection="1">
      <protection locked="0"/>
    </xf>
    <xf numFmtId="0" fontId="8" fillId="15" borderId="11" xfId="0" applyFont="1" applyFill="1" applyBorder="1" applyProtection="1">
      <protection locked="0"/>
    </xf>
    <xf numFmtId="0" fontId="8" fillId="0" borderId="11" xfId="0" applyFont="1" applyBorder="1" applyProtection="1">
      <protection locked="0"/>
    </xf>
    <xf numFmtId="0" fontId="9" fillId="15" borderId="11" xfId="0" applyFont="1" applyFill="1" applyBorder="1" applyProtection="1">
      <protection locked="0"/>
    </xf>
    <xf numFmtId="0" fontId="2" fillId="0" borderId="0" xfId="0" applyFont="1" applyProtection="1">
      <protection locked="0"/>
    </xf>
    <xf numFmtId="0" fontId="41" fillId="0" borderId="0" xfId="0" applyFont="1" applyProtection="1">
      <protection locked="0"/>
    </xf>
    <xf numFmtId="0" fontId="79" fillId="0" borderId="0" xfId="0" applyFont="1" applyProtection="1">
      <protection locked="0"/>
    </xf>
    <xf numFmtId="0" fontId="46" fillId="0" borderId="0" xfId="2" applyFont="1" applyAlignment="1" applyProtection="1">
      <alignment horizontal="right" vertical="center"/>
      <protection locked="0"/>
    </xf>
    <xf numFmtId="0" fontId="9" fillId="0" borderId="0" xfId="2" applyFont="1" applyProtection="1">
      <protection locked="0"/>
    </xf>
    <xf numFmtId="0" fontId="79" fillId="0" borderId="0" xfId="0" applyFont="1" applyAlignment="1" applyProtection="1">
      <alignment horizontal="center" vertical="center"/>
      <protection locked="0"/>
    </xf>
    <xf numFmtId="0" fontId="136" fillId="0" borderId="0" xfId="0" applyFont="1" applyAlignment="1" applyProtection="1">
      <alignment horizontal="center" vertical="center"/>
      <protection locked="0"/>
    </xf>
    <xf numFmtId="0" fontId="136" fillId="0" borderId="0" xfId="0" applyFont="1" applyProtection="1">
      <protection locked="0"/>
    </xf>
    <xf numFmtId="0" fontId="51" fillId="0" borderId="0" xfId="2" applyFont="1" applyAlignment="1" applyProtection="1">
      <alignment horizontal="center" vertical="center"/>
      <protection locked="0"/>
    </xf>
    <xf numFmtId="0" fontId="137" fillId="0" borderId="0" xfId="0" applyFont="1" applyAlignment="1" applyProtection="1">
      <alignment horizontal="center" vertical="center"/>
      <protection locked="0"/>
    </xf>
    <xf numFmtId="0" fontId="79" fillId="0" borderId="0" xfId="0" applyFont="1" applyAlignment="1" applyProtection="1">
      <alignment vertical="center"/>
      <protection locked="0"/>
    </xf>
    <xf numFmtId="0" fontId="47" fillId="0" borderId="0" xfId="2" applyFont="1" applyAlignment="1" applyProtection="1">
      <alignment vertical="center"/>
      <protection locked="0"/>
    </xf>
    <xf numFmtId="0" fontId="9" fillId="0" borderId="0" xfId="2" applyFont="1" applyAlignment="1" applyProtection="1">
      <alignment vertical="center"/>
      <protection locked="0"/>
    </xf>
    <xf numFmtId="9" fontId="47" fillId="0" borderId="0" xfId="2" applyNumberFormat="1" applyFont="1" applyAlignment="1" applyProtection="1">
      <alignment horizontal="center" vertical="center"/>
      <protection locked="0"/>
    </xf>
    <xf numFmtId="0" fontId="9" fillId="0" borderId="0" xfId="2" applyFont="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0" xfId="0" applyFont="1" applyAlignment="1" applyProtection="1">
      <alignment horizontal="center" vertical="center" wrapText="1"/>
      <protection locked="0"/>
    </xf>
    <xf numFmtId="0" fontId="119" fillId="0" borderId="0" xfId="0" applyFont="1" applyAlignment="1" applyProtection="1">
      <alignment horizontal="center" vertical="center"/>
      <protection locked="0"/>
    </xf>
    <xf numFmtId="0" fontId="119" fillId="0" borderId="0" xfId="0" applyFont="1" applyAlignment="1" applyProtection="1">
      <alignment horizontal="center" vertical="center" wrapText="1"/>
      <protection locked="0"/>
    </xf>
    <xf numFmtId="0" fontId="65" fillId="0" borderId="0" xfId="0" applyFont="1" applyProtection="1">
      <protection locked="0"/>
    </xf>
    <xf numFmtId="0" fontId="41" fillId="0" borderId="0" xfId="2" applyFont="1" applyAlignment="1" applyProtection="1">
      <alignment horizontal="center" vertical="center"/>
      <protection locked="0"/>
    </xf>
    <xf numFmtId="0" fontId="62" fillId="0" borderId="0" xfId="2" applyFont="1" applyAlignment="1" applyProtection="1">
      <alignment vertical="center"/>
      <protection locked="0"/>
    </xf>
    <xf numFmtId="0" fontId="46" fillId="0" borderId="0" xfId="2" applyFont="1" applyAlignment="1" applyProtection="1">
      <alignment vertical="center"/>
      <protection locked="0"/>
    </xf>
    <xf numFmtId="9" fontId="44" fillId="0" borderId="0" xfId="2" applyNumberFormat="1" applyFont="1" applyAlignment="1" applyProtection="1">
      <alignment horizontal="center" vertical="center"/>
      <protection locked="0"/>
    </xf>
    <xf numFmtId="0" fontId="108" fillId="0" borderId="0" xfId="2" applyFont="1" applyAlignment="1" applyProtection="1">
      <alignment horizontal="center" vertical="center" wrapText="1"/>
      <protection locked="0"/>
    </xf>
    <xf numFmtId="0" fontId="108" fillId="0" borderId="0" xfId="2" applyFont="1" applyAlignment="1" applyProtection="1">
      <alignment vertical="center"/>
      <protection locked="0"/>
    </xf>
    <xf numFmtId="0" fontId="87" fillId="0" borderId="0" xfId="0" applyFont="1" applyAlignment="1" applyProtection="1">
      <alignment horizontal="left" vertical="center" wrapText="1"/>
      <protection locked="0"/>
    </xf>
    <xf numFmtId="0" fontId="87" fillId="0" borderId="0" xfId="0" applyFont="1" applyAlignment="1" applyProtection="1">
      <alignment horizontal="center" vertical="center"/>
      <protection locked="0"/>
    </xf>
    <xf numFmtId="0" fontId="138" fillId="0" borderId="0" xfId="0" applyFont="1" applyAlignment="1" applyProtection="1">
      <alignment horizontal="left" vertical="center" wrapText="1"/>
      <protection locked="0"/>
    </xf>
    <xf numFmtId="0" fontId="87" fillId="0" borderId="0" xfId="1" applyFont="1" applyAlignment="1" applyProtection="1">
      <alignment horizontal="center" vertical="center"/>
      <protection locked="0"/>
    </xf>
    <xf numFmtId="0" fontId="65" fillId="0" borderId="0" xfId="0" applyFont="1" applyAlignment="1" applyProtection="1">
      <alignment horizontal="center" vertical="center"/>
      <protection locked="0"/>
    </xf>
    <xf numFmtId="0" fontId="135" fillId="0" borderId="0" xfId="1" applyFont="1" applyAlignment="1" applyProtection="1">
      <alignment horizontal="center" vertical="center"/>
      <protection locked="0"/>
    </xf>
    <xf numFmtId="0" fontId="77" fillId="0" borderId="0" xfId="1" applyFont="1" applyAlignment="1" applyProtection="1">
      <alignment horizontal="center" vertical="center"/>
      <protection locked="0"/>
    </xf>
    <xf numFmtId="0" fontId="62" fillId="0" borderId="0" xfId="2" applyFont="1" applyAlignment="1" applyProtection="1">
      <alignment horizontal="left" vertical="center"/>
      <protection locked="0"/>
    </xf>
    <xf numFmtId="0" fontId="109" fillId="0" borderId="0" xfId="2" applyFont="1" applyAlignment="1" applyProtection="1">
      <alignment horizontal="left" vertical="center" wrapText="1"/>
      <protection locked="0"/>
    </xf>
    <xf numFmtId="0" fontId="109" fillId="0" borderId="0" xfId="2" applyFont="1" applyAlignment="1" applyProtection="1">
      <alignment horizontal="center" vertical="center"/>
      <protection locked="0"/>
    </xf>
    <xf numFmtId="0" fontId="108" fillId="0" borderId="0" xfId="2" applyFont="1" applyProtection="1">
      <protection locked="0"/>
    </xf>
    <xf numFmtId="0" fontId="45" fillId="0" borderId="0" xfId="0" applyFont="1" applyAlignment="1" applyProtection="1">
      <alignment horizontal="left" vertical="center" wrapText="1"/>
      <protection locked="0"/>
    </xf>
    <xf numFmtId="0" fontId="116" fillId="0" borderId="0" xfId="1" applyFont="1" applyAlignment="1" applyProtection="1">
      <alignment horizontal="center" vertical="center"/>
      <protection locked="0"/>
    </xf>
    <xf numFmtId="0" fontId="44" fillId="0" borderId="0" xfId="2" applyFont="1" applyAlignment="1" applyProtection="1">
      <alignment horizontal="center" vertical="center"/>
      <protection locked="0"/>
    </xf>
    <xf numFmtId="9" fontId="62" fillId="0" borderId="0" xfId="2" applyNumberFormat="1" applyFont="1" applyAlignment="1" applyProtection="1">
      <alignment horizontal="center" vertical="center"/>
      <protection locked="0"/>
    </xf>
    <xf numFmtId="0" fontId="47" fillId="0" borderId="0" xfId="2" applyFont="1" applyProtection="1">
      <protection locked="0"/>
    </xf>
    <xf numFmtId="0" fontId="63" fillId="0" borderId="0" xfId="0" applyFont="1" applyAlignment="1" applyProtection="1">
      <alignment horizontal="left" vertical="center" wrapText="1"/>
      <protection locked="0"/>
    </xf>
    <xf numFmtId="0" fontId="63" fillId="0" borderId="0" xfId="0" applyFont="1" applyAlignment="1" applyProtection="1">
      <alignment horizontal="center" vertical="center"/>
      <protection locked="0"/>
    </xf>
    <xf numFmtId="0" fontId="110" fillId="0" borderId="0" xfId="0" applyFont="1" applyAlignment="1" applyProtection="1">
      <alignment horizontal="left" vertical="center" wrapText="1"/>
      <protection locked="0"/>
    </xf>
    <xf numFmtId="0" fontId="110" fillId="0" borderId="0" xfId="1" applyFont="1" applyAlignment="1" applyProtection="1">
      <alignment horizontal="center" vertical="center"/>
      <protection locked="0"/>
    </xf>
    <xf numFmtId="0" fontId="110" fillId="0" borderId="0" xfId="0" applyFont="1" applyProtection="1">
      <protection locked="0"/>
    </xf>
    <xf numFmtId="0" fontId="110" fillId="0" borderId="0" xfId="0" applyFont="1" applyAlignment="1" applyProtection="1">
      <alignment horizontal="center" vertical="center"/>
      <protection locked="0"/>
    </xf>
    <xf numFmtId="0" fontId="61" fillId="0" borderId="0" xfId="1" applyFont="1" applyAlignment="1" applyProtection="1">
      <alignment horizontal="center" vertical="center"/>
      <protection locked="0"/>
    </xf>
    <xf numFmtId="0" fontId="110" fillId="0" borderId="0" xfId="0" applyFont="1" applyAlignment="1" applyProtection="1">
      <alignment vertical="center"/>
      <protection locked="0"/>
    </xf>
    <xf numFmtId="0" fontId="110" fillId="0" borderId="0" xfId="0" applyFont="1" applyAlignment="1" applyProtection="1">
      <alignment vertical="center" wrapText="1"/>
      <protection locked="0"/>
    </xf>
    <xf numFmtId="0" fontId="110" fillId="0" borderId="40" xfId="0" applyFont="1" applyBorder="1" applyAlignment="1" applyProtection="1">
      <alignment vertical="center" wrapText="1"/>
      <protection locked="0"/>
    </xf>
    <xf numFmtId="0" fontId="110" fillId="0" borderId="41" xfId="0" applyFont="1" applyBorder="1" applyAlignment="1" applyProtection="1">
      <alignment vertical="center" wrapText="1"/>
      <protection locked="0"/>
    </xf>
    <xf numFmtId="0" fontId="110" fillId="0" borderId="42" xfId="0" applyFont="1" applyBorder="1" applyAlignment="1" applyProtection="1">
      <alignment vertical="center" wrapText="1"/>
      <protection locked="0"/>
    </xf>
    <xf numFmtId="0" fontId="110" fillId="0" borderId="43" xfId="0" applyFont="1" applyBorder="1" applyAlignment="1" applyProtection="1">
      <alignment vertical="center" wrapText="1"/>
      <protection locked="0"/>
    </xf>
    <xf numFmtId="0" fontId="110" fillId="0" borderId="44" xfId="0" applyFont="1" applyBorder="1" applyAlignment="1" applyProtection="1">
      <alignment vertical="center" wrapText="1"/>
      <protection locked="0"/>
    </xf>
    <xf numFmtId="0" fontId="110" fillId="0" borderId="45" xfId="0" applyFont="1" applyBorder="1" applyAlignment="1" applyProtection="1">
      <alignment vertical="center" wrapText="1"/>
      <protection locked="0"/>
    </xf>
    <xf numFmtId="0" fontId="110" fillId="0" borderId="46" xfId="0" applyFont="1" applyBorder="1" applyAlignment="1" applyProtection="1">
      <alignment vertical="center" wrapText="1"/>
      <protection locked="0"/>
    </xf>
    <xf numFmtId="0" fontId="110" fillId="0" borderId="47" xfId="0" applyFont="1" applyBorder="1" applyAlignment="1" applyProtection="1">
      <alignment vertical="center" wrapText="1"/>
      <protection locked="0"/>
    </xf>
    <xf numFmtId="0" fontId="0" fillId="0" borderId="0" xfId="0" applyAlignment="1" applyProtection="1">
      <alignment horizontal="left" vertical="center" wrapText="1"/>
      <protection locked="0"/>
    </xf>
    <xf numFmtId="0" fontId="54" fillId="0" borderId="0" xfId="0" applyFont="1" applyAlignment="1" applyProtection="1">
      <alignment horizontal="left" vertical="center" wrapText="1"/>
      <protection locked="0"/>
    </xf>
    <xf numFmtId="0" fontId="66" fillId="0" borderId="0" xfId="0" applyFont="1" applyAlignment="1" applyProtection="1">
      <alignment horizontal="center" vertical="center"/>
      <protection locked="0"/>
    </xf>
    <xf numFmtId="0" fontId="112" fillId="0" borderId="0" xfId="0" applyFont="1" applyAlignment="1" applyProtection="1">
      <alignment vertical="center" wrapText="1"/>
      <protection locked="0"/>
    </xf>
    <xf numFmtId="1" fontId="51" fillId="0" borderId="0" xfId="1" applyNumberFormat="1" applyFont="1" applyAlignment="1" applyProtection="1">
      <alignment horizontal="center" vertical="center"/>
      <protection locked="0"/>
    </xf>
    <xf numFmtId="0" fontId="141" fillId="0" borderId="0" xfId="0" applyFont="1" applyProtection="1">
      <protection locked="0"/>
    </xf>
    <xf numFmtId="0" fontId="58" fillId="22" borderId="0" xfId="0" applyFont="1" applyFill="1" applyProtection="1">
      <protection locked="0"/>
    </xf>
    <xf numFmtId="0" fontId="45" fillId="22" borderId="0" xfId="0" applyFont="1" applyFill="1" applyAlignment="1" applyProtection="1">
      <alignment horizontal="right" vertical="center"/>
      <protection locked="0"/>
    </xf>
    <xf numFmtId="0" fontId="45" fillId="22" borderId="0" xfId="0" applyFont="1" applyFill="1" applyAlignment="1" applyProtection="1">
      <alignment horizontal="left" vertical="center"/>
      <protection locked="0"/>
    </xf>
    <xf numFmtId="0" fontId="9" fillId="22" borderId="0" xfId="0" applyFont="1" applyFill="1" applyProtection="1">
      <protection locked="0"/>
    </xf>
    <xf numFmtId="0" fontId="45" fillId="22" borderId="0" xfId="0" applyFont="1" applyFill="1" applyAlignment="1" applyProtection="1">
      <alignment horizontal="center" vertical="center"/>
      <protection locked="0"/>
    </xf>
    <xf numFmtId="0" fontId="45" fillId="13" borderId="91" xfId="0" applyFont="1" applyFill="1" applyBorder="1" applyAlignment="1" applyProtection="1">
      <alignment horizontal="left" vertical="center"/>
      <protection locked="0"/>
    </xf>
    <xf numFmtId="0" fontId="79" fillId="13" borderId="92" xfId="0" applyFont="1" applyFill="1" applyBorder="1" applyProtection="1">
      <protection locked="0"/>
    </xf>
    <xf numFmtId="0" fontId="45" fillId="13" borderId="56" xfId="0" applyFont="1" applyFill="1" applyBorder="1" applyAlignment="1" applyProtection="1">
      <alignment horizontal="center" vertical="center"/>
      <protection locked="0"/>
    </xf>
    <xf numFmtId="0" fontId="45" fillId="6" borderId="1" xfId="0" applyFont="1" applyFill="1" applyBorder="1" applyAlignment="1">
      <alignment horizontal="center" vertical="center"/>
    </xf>
    <xf numFmtId="9" fontId="45" fillId="21" borderId="56" xfId="1" applyNumberFormat="1" applyFont="1" applyFill="1" applyBorder="1" applyAlignment="1">
      <alignment horizontal="center" vertical="center"/>
    </xf>
    <xf numFmtId="1" fontId="45" fillId="0" borderId="56" xfId="1" applyNumberFormat="1" applyFont="1" applyBorder="1" applyAlignment="1">
      <alignment horizontal="center" vertical="center"/>
    </xf>
    <xf numFmtId="0" fontId="45" fillId="13" borderId="90" xfId="0" applyFont="1" applyFill="1" applyBorder="1" applyAlignment="1">
      <alignment horizontal="right" vertical="center"/>
    </xf>
    <xf numFmtId="0" fontId="114" fillId="0" borderId="18" xfId="0" applyFont="1" applyBorder="1" applyAlignment="1">
      <alignment horizontal="center" vertical="center"/>
    </xf>
    <xf numFmtId="0" fontId="61" fillId="0" borderId="18" xfId="1" applyFont="1" applyBorder="1" applyAlignment="1">
      <alignment horizontal="center" vertical="center"/>
    </xf>
    <xf numFmtId="0" fontId="51" fillId="0" borderId="18" xfId="1" applyFont="1" applyBorder="1" applyAlignment="1">
      <alignment horizontal="center" vertical="center"/>
    </xf>
    <xf numFmtId="9" fontId="45" fillId="21" borderId="85" xfId="1" applyNumberFormat="1" applyFont="1" applyFill="1" applyBorder="1" applyAlignment="1">
      <alignment horizontal="center" vertical="center"/>
    </xf>
    <xf numFmtId="0" fontId="54" fillId="6" borderId="18" xfId="1" applyFont="1" applyFill="1" applyBorder="1" applyAlignment="1">
      <alignment horizontal="center" vertical="center"/>
    </xf>
    <xf numFmtId="0" fontId="3" fillId="0" borderId="0" xfId="5" applyAlignment="1" applyProtection="1">
      <alignment horizontal="left"/>
      <protection locked="0"/>
    </xf>
    <xf numFmtId="0" fontId="86" fillId="0" borderId="0" xfId="0" applyFont="1" applyAlignment="1" applyProtection="1">
      <alignment horizontal="center" vertical="center"/>
      <protection locked="0"/>
    </xf>
    <xf numFmtId="0" fontId="78" fillId="0" borderId="0" xfId="8" applyAlignment="1">
      <alignment vertical="center" wrapText="1"/>
    </xf>
    <xf numFmtId="0" fontId="78" fillId="0" borderId="0" xfId="8" applyAlignment="1">
      <alignment vertical="center"/>
    </xf>
    <xf numFmtId="0" fontId="154" fillId="0" borderId="0" xfId="8" applyFont="1" applyAlignment="1">
      <alignment vertical="center"/>
    </xf>
    <xf numFmtId="0" fontId="86" fillId="0" borderId="0" xfId="8" applyFont="1" applyAlignment="1">
      <alignment vertical="center" wrapText="1"/>
    </xf>
    <xf numFmtId="0" fontId="1" fillId="0" borderId="0" xfId="9" applyAlignment="1">
      <alignment vertical="center"/>
    </xf>
    <xf numFmtId="0" fontId="1" fillId="0" borderId="0" xfId="9" applyAlignment="1">
      <alignment horizontal="left" vertical="center" wrapText="1"/>
    </xf>
    <xf numFmtId="0" fontId="86" fillId="0" borderId="0" xfId="9" applyFont="1" applyAlignment="1">
      <alignment horizontal="right" vertical="top"/>
    </xf>
    <xf numFmtId="0" fontId="1" fillId="0" borderId="0" xfId="9" applyAlignment="1">
      <alignment vertical="center" wrapText="1"/>
    </xf>
    <xf numFmtId="0" fontId="73" fillId="19" borderId="1" xfId="9" applyFont="1" applyFill="1" applyBorder="1" applyAlignment="1">
      <alignment horizontal="center" vertical="center"/>
    </xf>
    <xf numFmtId="0" fontId="1" fillId="0" borderId="0" xfId="8" applyFont="1" applyAlignment="1">
      <alignment vertical="center" wrapText="1"/>
    </xf>
    <xf numFmtId="0" fontId="73" fillId="12" borderId="1" xfId="9" applyFont="1" applyFill="1" applyBorder="1" applyAlignment="1">
      <alignment horizontal="center" vertical="center"/>
    </xf>
    <xf numFmtId="0" fontId="73" fillId="17" borderId="1" xfId="9" applyFont="1" applyFill="1" applyBorder="1" applyAlignment="1">
      <alignment horizontal="center" vertical="center"/>
    </xf>
    <xf numFmtId="0" fontId="86" fillId="0" borderId="0" xfId="9" applyFont="1" applyAlignment="1">
      <alignment horizontal="left" vertical="center" wrapText="1"/>
    </xf>
    <xf numFmtId="0" fontId="82" fillId="19" borderId="97" xfId="9" applyFont="1" applyFill="1" applyBorder="1" applyAlignment="1">
      <alignment horizontal="center" vertical="center"/>
    </xf>
    <xf numFmtId="0" fontId="82" fillId="12" borderId="97" xfId="9" applyFont="1" applyFill="1" applyBorder="1" applyAlignment="1">
      <alignment horizontal="center" vertical="center"/>
    </xf>
    <xf numFmtId="0" fontId="82" fillId="17" borderId="97" xfId="9" applyFont="1" applyFill="1" applyBorder="1" applyAlignment="1">
      <alignment horizontal="center" vertical="center"/>
    </xf>
    <xf numFmtId="0" fontId="82" fillId="6" borderId="5" xfId="8" applyFont="1" applyFill="1" applyBorder="1" applyAlignment="1">
      <alignment vertical="center"/>
    </xf>
    <xf numFmtId="0" fontId="91" fillId="6" borderId="6" xfId="8" applyFont="1" applyFill="1" applyBorder="1" applyAlignment="1">
      <alignment vertical="center" wrapText="1"/>
    </xf>
    <xf numFmtId="0" fontId="78" fillId="6" borderId="6" xfId="8" applyFill="1" applyBorder="1" applyAlignment="1">
      <alignment vertical="center"/>
    </xf>
    <xf numFmtId="0" fontId="63" fillId="6" borderId="7" xfId="8" applyFont="1" applyFill="1" applyBorder="1" applyAlignment="1">
      <alignment horizontal="center" vertical="center"/>
    </xf>
    <xf numFmtId="0" fontId="83" fillId="0" borderId="0" xfId="8" applyFont="1" applyAlignment="1">
      <alignment vertical="center" wrapText="1"/>
    </xf>
    <xf numFmtId="0" fontId="157" fillId="0" borderId="1" xfId="8" applyFont="1" applyBorder="1" applyAlignment="1">
      <alignment horizontal="center" vertical="center"/>
    </xf>
    <xf numFmtId="0" fontId="158" fillId="0" borderId="0" xfId="8" applyFont="1" applyAlignment="1">
      <alignment vertical="center"/>
    </xf>
    <xf numFmtId="0" fontId="78" fillId="18" borderId="5" xfId="8" applyFill="1" applyBorder="1" applyAlignment="1">
      <alignment vertical="center" wrapText="1"/>
    </xf>
    <xf numFmtId="0" fontId="78" fillId="18" borderId="6" xfId="8" applyFill="1" applyBorder="1" applyAlignment="1">
      <alignment vertical="center" wrapText="1"/>
    </xf>
    <xf numFmtId="0" fontId="78" fillId="18" borderId="7" xfId="8" applyFill="1" applyBorder="1" applyAlignment="1">
      <alignment vertical="center" wrapText="1"/>
    </xf>
    <xf numFmtId="0" fontId="44" fillId="0" borderId="1" xfId="9" applyFont="1" applyBorder="1" applyAlignment="1">
      <alignment horizontal="center" vertical="center"/>
    </xf>
    <xf numFmtId="0" fontId="78" fillId="18" borderId="0" xfId="8" applyFill="1" applyAlignment="1">
      <alignment vertical="center" wrapText="1"/>
    </xf>
    <xf numFmtId="0" fontId="78" fillId="0" borderId="0" xfId="8" applyAlignment="1">
      <alignment horizontal="left" vertical="center" wrapText="1"/>
    </xf>
    <xf numFmtId="0" fontId="44" fillId="0" borderId="0" xfId="9" applyFont="1" applyAlignment="1">
      <alignment horizontal="center" vertical="center"/>
    </xf>
    <xf numFmtId="0" fontId="91" fillId="0" borderId="0" xfId="8" applyFont="1" applyAlignment="1">
      <alignment vertical="center"/>
    </xf>
    <xf numFmtId="0" fontId="83" fillId="0" borderId="0" xfId="0" applyFont="1" applyAlignment="1">
      <alignment vertical="center" wrapText="1"/>
    </xf>
    <xf numFmtId="0" fontId="59" fillId="19" borderId="97" xfId="3" applyFont="1" applyFill="1" applyBorder="1" applyAlignment="1" applyProtection="1">
      <alignment horizontal="center" vertical="center"/>
      <protection locked="0"/>
    </xf>
    <xf numFmtId="0" fontId="59" fillId="11" borderId="97" xfId="3" applyFont="1" applyFill="1" applyBorder="1" applyAlignment="1" applyProtection="1">
      <alignment horizontal="center" vertical="center"/>
      <protection locked="0"/>
    </xf>
    <xf numFmtId="0" fontId="59" fillId="17" borderId="97" xfId="3" applyFont="1" applyFill="1" applyBorder="1" applyAlignment="1" applyProtection="1">
      <alignment horizontal="center" vertical="center"/>
      <protection locked="0"/>
    </xf>
    <xf numFmtId="0" fontId="159" fillId="13" borderId="0" xfId="8" applyFont="1" applyFill="1" applyAlignment="1">
      <alignment vertical="center" wrapText="1"/>
    </xf>
    <xf numFmtId="0" fontId="78" fillId="13" borderId="0" xfId="8" applyFill="1" applyAlignment="1">
      <alignment vertical="center"/>
    </xf>
    <xf numFmtId="0" fontId="78" fillId="13" borderId="0" xfId="8" applyFill="1" applyAlignment="1">
      <alignment vertical="center" wrapText="1"/>
    </xf>
    <xf numFmtId="0" fontId="159" fillId="13" borderId="0" xfId="8" applyFont="1" applyFill="1" applyAlignment="1">
      <alignment vertical="center"/>
    </xf>
    <xf numFmtId="0" fontId="51" fillId="13" borderId="0" xfId="0" applyFont="1" applyFill="1" applyAlignment="1">
      <alignment horizontal="left" vertical="center"/>
    </xf>
    <xf numFmtId="0" fontId="141" fillId="13" borderId="0" xfId="8" applyFont="1" applyFill="1" applyAlignment="1">
      <alignment horizontal="left" vertical="center"/>
    </xf>
    <xf numFmtId="9" fontId="59" fillId="19" borderId="67" xfId="3" applyNumberFormat="1" applyFont="1" applyFill="1" applyBorder="1" applyAlignment="1">
      <alignment horizontal="center" vertical="center"/>
    </xf>
    <xf numFmtId="9" fontId="59" fillId="11" borderId="67" xfId="3" applyNumberFormat="1" applyFont="1" applyFill="1" applyBorder="1" applyAlignment="1">
      <alignment horizontal="center" vertical="center"/>
    </xf>
    <xf numFmtId="9" fontId="59" fillId="17" borderId="67" xfId="3" applyNumberFormat="1" applyFont="1" applyFill="1" applyBorder="1" applyAlignment="1">
      <alignment horizontal="center" vertical="center"/>
    </xf>
    <xf numFmtId="0" fontId="120" fillId="0" borderId="0" xfId="0" applyFont="1" applyAlignment="1">
      <alignment horizontal="right" vertical="center"/>
    </xf>
    <xf numFmtId="0" fontId="84" fillId="0" borderId="0" xfId="0" applyFont="1" applyAlignment="1">
      <alignment horizontal="left" vertical="center" wrapText="1"/>
    </xf>
    <xf numFmtId="0" fontId="46" fillId="0" borderId="0" xfId="0" applyFont="1" applyAlignment="1">
      <alignment horizontal="left" vertical="center" wrapText="1"/>
    </xf>
    <xf numFmtId="0" fontId="120" fillId="0" borderId="0" xfId="0" applyFont="1" applyAlignment="1">
      <alignment horizontal="left" vertical="center"/>
    </xf>
    <xf numFmtId="0" fontId="82" fillId="0" borderId="81" xfId="0" applyFont="1" applyBorder="1" applyAlignment="1">
      <alignment vertical="center"/>
    </xf>
    <xf numFmtId="0" fontId="82" fillId="0" borderId="82" xfId="0" applyFont="1" applyBorder="1" applyAlignment="1">
      <alignment vertical="center"/>
    </xf>
    <xf numFmtId="0" fontId="82" fillId="0" borderId="83" xfId="0" applyFont="1" applyBorder="1" applyAlignment="1">
      <alignment vertical="center"/>
    </xf>
    <xf numFmtId="0" fontId="82" fillId="0" borderId="0" xfId="0" applyFont="1" applyAlignment="1">
      <alignment vertical="center" wrapText="1"/>
    </xf>
    <xf numFmtId="0" fontId="145" fillId="0" borderId="0" xfId="0" applyFont="1" applyAlignment="1">
      <alignment horizontal="left" vertical="center" wrapText="1"/>
    </xf>
    <xf numFmtId="0" fontId="46" fillId="0" borderId="0" xfId="0" applyFont="1" applyAlignment="1">
      <alignment horizontal="left" vertical="top" wrapText="1"/>
    </xf>
    <xf numFmtId="0" fontId="83" fillId="0" borderId="0" xfId="0" applyFont="1" applyAlignment="1">
      <alignment vertical="center" wrapText="1"/>
    </xf>
    <xf numFmtId="0" fontId="86" fillId="0" borderId="0" xfId="3" quotePrefix="1" applyFont="1" applyAlignment="1">
      <alignment horizontal="center" vertical="center" wrapText="1"/>
    </xf>
    <xf numFmtId="0" fontId="86" fillId="0" borderId="0" xfId="3" applyFont="1" applyAlignment="1">
      <alignment horizontal="center" vertical="center" wrapText="1"/>
    </xf>
    <xf numFmtId="0" fontId="39" fillId="0" borderId="79" xfId="3" applyFont="1" applyBorder="1" applyAlignment="1">
      <alignment vertical="center" wrapText="1"/>
    </xf>
    <xf numFmtId="0" fontId="39" fillId="0" borderId="80" xfId="3" applyFont="1" applyBorder="1" applyAlignment="1">
      <alignment vertical="center" wrapText="1"/>
    </xf>
    <xf numFmtId="0" fontId="39" fillId="0" borderId="75" xfId="3" applyFont="1" applyBorder="1" applyAlignment="1">
      <alignment vertical="center" wrapText="1"/>
    </xf>
    <xf numFmtId="0" fontId="39" fillId="0" borderId="76" xfId="3" applyFont="1" applyBorder="1" applyAlignment="1">
      <alignment vertical="center" wrapText="1"/>
    </xf>
    <xf numFmtId="0" fontId="39" fillId="0" borderId="77" xfId="3" applyFont="1" applyBorder="1" applyAlignment="1">
      <alignment vertical="center" wrapText="1"/>
    </xf>
    <xf numFmtId="0" fontId="39" fillId="0" borderId="78" xfId="3" applyFont="1" applyBorder="1" applyAlignment="1">
      <alignment vertical="center" wrapText="1"/>
    </xf>
    <xf numFmtId="0" fontId="39" fillId="0" borderId="69" xfId="3" applyFont="1" applyBorder="1" applyAlignment="1" applyProtection="1">
      <alignment vertical="center" wrapText="1"/>
      <protection locked="0"/>
    </xf>
    <xf numFmtId="0" fontId="39" fillId="0" borderId="70" xfId="3" applyFont="1" applyBorder="1" applyAlignment="1" applyProtection="1">
      <alignment vertical="center" wrapText="1"/>
      <protection locked="0"/>
    </xf>
    <xf numFmtId="0" fontId="39" fillId="0" borderId="73" xfId="3" applyFont="1" applyBorder="1" applyAlignment="1">
      <alignment vertical="center" wrapText="1"/>
    </xf>
    <xf numFmtId="0" fontId="39" fillId="0" borderId="74" xfId="3" applyFont="1" applyBorder="1" applyAlignment="1">
      <alignment vertical="center" wrapText="1"/>
    </xf>
    <xf numFmtId="0" fontId="39" fillId="0" borderId="69" xfId="3" applyFont="1" applyBorder="1" applyAlignment="1">
      <alignment vertical="center" wrapText="1"/>
    </xf>
    <xf numFmtId="0" fontId="39" fillId="0" borderId="70" xfId="3" applyFont="1" applyBorder="1" applyAlignment="1">
      <alignment vertical="center" wrapText="1"/>
    </xf>
    <xf numFmtId="0" fontId="84" fillId="0" borderId="0" xfId="0" applyFont="1" applyAlignment="1" applyProtection="1">
      <alignment horizontal="left" vertical="center" wrapText="1"/>
      <protection locked="0"/>
    </xf>
    <xf numFmtId="0" fontId="86" fillId="0" borderId="0" xfId="0" applyFont="1" applyAlignment="1" applyProtection="1">
      <alignment horizontal="center" wrapText="1"/>
      <protection locked="0"/>
    </xf>
    <xf numFmtId="0" fontId="84" fillId="0" borderId="0" xfId="0" applyFont="1" applyAlignment="1" applyProtection="1">
      <alignment horizontal="left"/>
      <protection locked="0"/>
    </xf>
    <xf numFmtId="0" fontId="45" fillId="6" borderId="75" xfId="0" applyFont="1" applyFill="1" applyBorder="1" applyAlignment="1" applyProtection="1">
      <alignment horizontal="center" vertical="center" wrapText="1"/>
      <protection locked="0"/>
    </xf>
    <xf numFmtId="0" fontId="45" fillId="6" borderId="76" xfId="0" applyFont="1" applyFill="1" applyBorder="1" applyAlignment="1" applyProtection="1">
      <alignment horizontal="center" vertical="center" wrapText="1"/>
      <protection locked="0"/>
    </xf>
    <xf numFmtId="0" fontId="45" fillId="6" borderId="77" xfId="0" applyFont="1" applyFill="1" applyBorder="1" applyAlignment="1" applyProtection="1">
      <alignment horizontal="center" vertical="center" wrapText="1"/>
      <protection locked="0"/>
    </xf>
    <xf numFmtId="0" fontId="45" fillId="6" borderId="78" xfId="0" applyFont="1" applyFill="1" applyBorder="1" applyAlignment="1" applyProtection="1">
      <alignment horizontal="center" vertical="center" wrapText="1"/>
      <protection locked="0"/>
    </xf>
    <xf numFmtId="0" fontId="45" fillId="6" borderId="79" xfId="0" applyFont="1" applyFill="1" applyBorder="1" applyAlignment="1" applyProtection="1">
      <alignment horizontal="center" vertical="center" wrapText="1"/>
      <protection locked="0"/>
    </xf>
    <xf numFmtId="0" fontId="45" fillId="6" borderId="80" xfId="0" applyFont="1" applyFill="1" applyBorder="1" applyAlignment="1" applyProtection="1">
      <alignment horizontal="center" vertical="center" wrapText="1"/>
      <protection locked="0"/>
    </xf>
    <xf numFmtId="0" fontId="44" fillId="6" borderId="5" xfId="0" applyFont="1" applyFill="1" applyBorder="1" applyAlignment="1" applyProtection="1">
      <alignment horizontal="center" vertical="center"/>
      <protection locked="0"/>
    </xf>
    <xf numFmtId="0" fontId="44" fillId="6" borderId="7" xfId="0" applyFont="1" applyFill="1" applyBorder="1" applyAlignment="1" applyProtection="1">
      <alignment horizontal="center" vertical="center"/>
      <protection locked="0"/>
    </xf>
    <xf numFmtId="0" fontId="84" fillId="0" borderId="0" xfId="0" applyFont="1" applyAlignment="1" applyProtection="1">
      <alignment horizontal="center" vertical="center" wrapText="1"/>
      <protection locked="0"/>
    </xf>
    <xf numFmtId="0" fontId="52" fillId="13" borderId="0" xfId="0" applyFont="1" applyFill="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54" fillId="0" borderId="48" xfId="0" applyFont="1" applyBorder="1" applyAlignment="1" applyProtection="1">
      <alignment horizontal="left" vertical="center"/>
      <protection locked="0"/>
    </xf>
    <xf numFmtId="0" fontId="54" fillId="0" borderId="49" xfId="0" applyFont="1" applyBorder="1" applyAlignment="1" applyProtection="1">
      <alignment horizontal="left" vertical="center"/>
      <protection locked="0"/>
    </xf>
    <xf numFmtId="0" fontId="86" fillId="0" borderId="0" xfId="0" applyFont="1" applyAlignment="1" applyProtection="1">
      <alignment wrapText="1"/>
      <protection locked="0"/>
    </xf>
    <xf numFmtId="0" fontId="51" fillId="0" borderId="0" xfId="1" applyFont="1" applyAlignment="1" applyProtection="1">
      <alignment horizontal="right" vertical="center"/>
      <protection locked="0"/>
    </xf>
    <xf numFmtId="0" fontId="85" fillId="13" borderId="0" xfId="0" applyFont="1" applyFill="1" applyAlignment="1" applyProtection="1">
      <alignment horizontal="left" vertical="center" wrapText="1"/>
      <protection locked="0"/>
    </xf>
    <xf numFmtId="0" fontId="85" fillId="13" borderId="0" xfId="0" applyFont="1" applyFill="1" applyAlignment="1" applyProtection="1">
      <alignment horizontal="left" vertical="center"/>
      <protection locked="0"/>
    </xf>
    <xf numFmtId="0" fontId="47" fillId="6" borderId="48" xfId="0" applyFont="1" applyFill="1" applyBorder="1" applyAlignment="1" applyProtection="1">
      <alignment horizontal="center" vertical="center"/>
      <protection locked="0"/>
    </xf>
    <xf numFmtId="0" fontId="47" fillId="6" borderId="49" xfId="0" applyFont="1" applyFill="1" applyBorder="1" applyAlignment="1" applyProtection="1">
      <alignment horizontal="center" vertical="center"/>
      <protection locked="0"/>
    </xf>
    <xf numFmtId="0" fontId="46" fillId="0" borderId="1" xfId="0" applyFont="1" applyBorder="1" applyAlignment="1" applyProtection="1">
      <alignment horizontal="left"/>
      <protection locked="0"/>
    </xf>
    <xf numFmtId="0" fontId="85" fillId="13" borderId="0" xfId="0" quotePrefix="1" applyFont="1" applyFill="1" applyAlignment="1" applyProtection="1">
      <alignment horizontal="left" vertical="center"/>
      <protection locked="0"/>
    </xf>
    <xf numFmtId="0" fontId="5" fillId="13" borderId="0" xfId="0" applyFont="1" applyFill="1" applyAlignment="1" applyProtection="1">
      <alignment horizontal="left" vertical="center" wrapText="1"/>
      <protection locked="0"/>
    </xf>
    <xf numFmtId="0" fontId="47" fillId="6" borderId="18"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wrapText="1"/>
      <protection locked="0"/>
    </xf>
    <xf numFmtId="0" fontId="39" fillId="0" borderId="84" xfId="0" applyFont="1" applyBorder="1" applyAlignment="1" applyProtection="1">
      <alignment horizontal="center" vertical="center" wrapText="1"/>
      <protection locked="0"/>
    </xf>
    <xf numFmtId="0" fontId="52" fillId="13" borderId="0" xfId="0" applyFont="1" applyFill="1" applyAlignment="1">
      <alignment horizontal="left" vertical="center" wrapText="1"/>
    </xf>
    <xf numFmtId="0" fontId="45" fillId="13" borderId="0" xfId="0" applyFont="1" applyFill="1" applyAlignment="1" applyProtection="1">
      <alignment horizontal="left" vertical="center"/>
      <protection locked="0"/>
    </xf>
    <xf numFmtId="0" fontId="45" fillId="13" borderId="0" xfId="0" applyFont="1" applyFill="1" applyAlignment="1" applyProtection="1">
      <alignment horizontal="center" vertical="center"/>
      <protection locked="0"/>
    </xf>
    <xf numFmtId="0" fontId="0" fillId="13" borderId="5" xfId="0" applyFill="1" applyBorder="1" applyAlignment="1" applyProtection="1">
      <alignment horizontal="center" vertical="center"/>
      <protection locked="0"/>
    </xf>
    <xf numFmtId="0" fontId="0" fillId="13" borderId="7" xfId="0"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54" fillId="5" borderId="5" xfId="0" applyFont="1" applyFill="1" applyBorder="1" applyAlignment="1" applyProtection="1">
      <alignment horizontal="center" vertical="center"/>
      <protection locked="0"/>
    </xf>
    <xf numFmtId="0" fontId="54" fillId="5" borderId="7" xfId="0" applyFont="1" applyFill="1" applyBorder="1" applyAlignment="1" applyProtection="1">
      <alignment horizontal="center" vertical="center"/>
      <protection locked="0"/>
    </xf>
    <xf numFmtId="0" fontId="40" fillId="3" borderId="5" xfId="0" applyFont="1" applyFill="1" applyBorder="1" applyAlignment="1" applyProtection="1">
      <alignment horizontal="center" vertical="center"/>
      <protection locked="0"/>
    </xf>
    <xf numFmtId="0" fontId="40" fillId="3" borderId="7" xfId="0" applyFont="1" applyFill="1" applyBorder="1" applyAlignment="1" applyProtection="1">
      <alignment horizontal="center" vertical="center"/>
      <protection locked="0"/>
    </xf>
    <xf numFmtId="0" fontId="61" fillId="0" borderId="1" xfId="0" applyFont="1" applyBorder="1" applyAlignment="1" applyProtection="1">
      <alignment horizontal="center" vertical="center"/>
      <protection locked="0"/>
    </xf>
    <xf numFmtId="0" fontId="9" fillId="0" borderId="0" xfId="0" applyFont="1" applyProtection="1">
      <protection locked="0"/>
    </xf>
    <xf numFmtId="0" fontId="0" fillId="4" borderId="5"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40" fillId="14" borderId="5" xfId="0" applyFont="1" applyFill="1" applyBorder="1" applyAlignment="1" applyProtection="1">
      <alignment horizontal="center" vertical="center"/>
      <protection locked="0"/>
    </xf>
    <xf numFmtId="0" fontId="40" fillId="14" borderId="7" xfId="0" applyFont="1" applyFill="1" applyBorder="1" applyAlignment="1" applyProtection="1">
      <alignment horizontal="center" vertical="center"/>
      <protection locked="0"/>
    </xf>
    <xf numFmtId="0" fontId="54" fillId="0" borderId="21" xfId="0" applyFont="1" applyBorder="1" applyAlignment="1" applyProtection="1">
      <alignment horizontal="left" vertical="center"/>
      <protection locked="0"/>
    </xf>
    <xf numFmtId="0" fontId="54" fillId="0" borderId="22" xfId="0" applyFont="1" applyBorder="1" applyAlignment="1" applyProtection="1">
      <alignment horizontal="left" vertical="center"/>
      <protection locked="0"/>
    </xf>
    <xf numFmtId="0" fontId="9" fillId="0" borderId="0" xfId="0" applyFont="1" applyAlignment="1" applyProtection="1">
      <alignment horizontal="center"/>
      <protection locked="0"/>
    </xf>
    <xf numFmtId="0" fontId="86" fillId="0" borderId="0" xfId="0" applyFont="1" applyAlignment="1" applyProtection="1">
      <alignment horizontal="left"/>
      <protection locked="0"/>
    </xf>
    <xf numFmtId="0" fontId="84" fillId="0" borderId="0" xfId="0" applyFont="1" applyAlignment="1" applyProtection="1">
      <alignment vertical="center" wrapText="1"/>
      <protection locked="0"/>
    </xf>
    <xf numFmtId="0" fontId="51" fillId="0" borderId="23" xfId="1" applyFont="1" applyBorder="1" applyAlignment="1" applyProtection="1">
      <alignment horizontal="center" vertical="center"/>
      <protection locked="0"/>
    </xf>
    <xf numFmtId="0" fontId="51" fillId="0" borderId="0" xfId="1" applyFont="1" applyAlignment="1" applyProtection="1">
      <alignment horizontal="center" vertical="center"/>
      <protection locked="0"/>
    </xf>
    <xf numFmtId="0" fontId="51" fillId="0" borderId="19" xfId="1" applyFont="1" applyBorder="1" applyAlignment="1" applyProtection="1">
      <alignment horizontal="center" vertical="center"/>
      <protection locked="0"/>
    </xf>
    <xf numFmtId="0" fontId="48" fillId="10" borderId="26" xfId="0" applyFont="1" applyFill="1" applyBorder="1" applyAlignment="1" applyProtection="1">
      <alignment horizontal="center" vertical="center" wrapText="1"/>
      <protection locked="0"/>
    </xf>
    <xf numFmtId="0" fontId="48" fillId="10" borderId="27" xfId="0" applyFont="1" applyFill="1" applyBorder="1" applyAlignment="1" applyProtection="1">
      <alignment horizontal="center" vertical="center" wrapText="1"/>
      <protection locked="0"/>
    </xf>
    <xf numFmtId="0" fontId="48" fillId="10" borderId="28" xfId="0" applyFont="1" applyFill="1" applyBorder="1" applyAlignment="1" applyProtection="1">
      <alignment horizontal="center" vertical="center" wrapText="1"/>
      <protection locked="0"/>
    </xf>
    <xf numFmtId="0" fontId="48" fillId="0" borderId="26" xfId="0" applyFont="1" applyBorder="1" applyAlignment="1" applyProtection="1">
      <alignment horizontal="center" vertical="center" wrapText="1"/>
      <protection locked="0"/>
    </xf>
    <xf numFmtId="0" fontId="48" fillId="0" borderId="27" xfId="0" applyFont="1" applyBorder="1" applyAlignment="1" applyProtection="1">
      <alignment horizontal="center" vertical="center" wrapText="1"/>
      <protection locked="0"/>
    </xf>
    <xf numFmtId="0" fontId="48" fillId="0" borderId="28" xfId="0" applyFont="1" applyBorder="1" applyAlignment="1" applyProtection="1">
      <alignment horizontal="center" vertical="center" wrapText="1"/>
      <protection locked="0"/>
    </xf>
    <xf numFmtId="0" fontId="84" fillId="0" borderId="0" xfId="0" applyFont="1" applyAlignment="1" applyProtection="1">
      <alignment horizontal="left" wrapText="1"/>
      <protection locked="0"/>
    </xf>
    <xf numFmtId="0" fontId="39" fillId="0" borderId="18" xfId="0" applyFont="1" applyBorder="1" applyAlignment="1" applyProtection="1">
      <alignment horizontal="center" vertical="center" wrapText="1"/>
      <protection locked="0"/>
    </xf>
    <xf numFmtId="0" fontId="39" fillId="0" borderId="48" xfId="0" applyFont="1" applyBorder="1" applyAlignment="1" applyProtection="1">
      <alignment horizontal="center" vertical="center" wrapText="1"/>
      <protection locked="0"/>
    </xf>
    <xf numFmtId="0" fontId="139" fillId="0" borderId="0" xfId="0" applyFont="1" applyAlignment="1" applyProtection="1">
      <alignment horizontal="left" vertical="center" wrapText="1"/>
      <protection locked="0"/>
    </xf>
    <xf numFmtId="0" fontId="58" fillId="13" borderId="0" xfId="0" applyFont="1" applyFill="1" applyAlignment="1" applyProtection="1">
      <alignment horizontal="left" vertical="center" wrapText="1"/>
      <protection locked="0"/>
    </xf>
    <xf numFmtId="0" fontId="58" fillId="13" borderId="0" xfId="0" applyFont="1" applyFill="1" applyAlignment="1" applyProtection="1">
      <alignment horizontal="left" vertical="center"/>
      <protection locked="0"/>
    </xf>
    <xf numFmtId="0" fontId="52" fillId="0" borderId="1" xfId="0" applyFont="1" applyBorder="1" applyAlignment="1" applyProtection="1">
      <alignment horizontal="left" vertical="center"/>
      <protection locked="0"/>
    </xf>
    <xf numFmtId="0" fontId="85" fillId="13" borderId="0" xfId="0" quotePrefix="1" applyFont="1" applyFill="1" applyAlignment="1" applyProtection="1">
      <alignment horizontal="left" vertical="center" wrapText="1"/>
      <protection locked="0"/>
    </xf>
    <xf numFmtId="0" fontId="0" fillId="0" borderId="1" xfId="0" applyBorder="1" applyAlignment="1" applyProtection="1">
      <alignment horizontal="center" vertical="center"/>
      <protection locked="0"/>
    </xf>
    <xf numFmtId="0" fontId="91" fillId="0" borderId="0" xfId="0" applyFont="1" applyAlignment="1" applyProtection="1">
      <alignment horizontal="center" vertical="center"/>
      <protection locked="0"/>
    </xf>
    <xf numFmtId="0" fontId="54" fillId="0" borderId="1"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55" fillId="19" borderId="0" xfId="9" applyFont="1" applyFill="1" applyAlignment="1">
      <alignment horizontal="center" vertical="center" wrapText="1"/>
    </xf>
    <xf numFmtId="0" fontId="155" fillId="12" borderId="0" xfId="9" applyFont="1" applyFill="1" applyAlignment="1">
      <alignment horizontal="center" vertical="center" wrapText="1"/>
    </xf>
    <xf numFmtId="0" fontId="155" fillId="17" borderId="0" xfId="9" applyFont="1" applyFill="1" applyAlignment="1">
      <alignment horizontal="center" vertical="center" wrapText="1"/>
    </xf>
    <xf numFmtId="0" fontId="156" fillId="0" borderId="5" xfId="8" applyFont="1" applyBorder="1" applyAlignment="1">
      <alignment vertical="center" wrapText="1"/>
    </xf>
    <xf numFmtId="0" fontId="156" fillId="0" borderId="6" xfId="8" applyFont="1" applyBorder="1" applyAlignment="1">
      <alignment vertical="center" wrapText="1"/>
    </xf>
    <xf numFmtId="0" fontId="156" fillId="0" borderId="7" xfId="8" applyFont="1" applyBorder="1" applyAlignment="1">
      <alignment vertical="center" wrapText="1"/>
    </xf>
    <xf numFmtId="0" fontId="78" fillId="18" borderId="5" xfId="8" applyFill="1" applyBorder="1" applyAlignment="1">
      <alignment vertical="center" wrapText="1"/>
    </xf>
    <xf numFmtId="0" fontId="78" fillId="18" borderId="6" xfId="8" applyFill="1" applyBorder="1" applyAlignment="1">
      <alignment vertical="center" wrapText="1"/>
    </xf>
    <xf numFmtId="0" fontId="78" fillId="18" borderId="7" xfId="8" applyFill="1" applyBorder="1" applyAlignment="1">
      <alignment vertical="center" wrapText="1"/>
    </xf>
    <xf numFmtId="0" fontId="78" fillId="0" borderId="5" xfId="8" applyBorder="1" applyAlignment="1">
      <alignment horizontal="left" vertical="center" wrapText="1"/>
    </xf>
    <xf numFmtId="0" fontId="78" fillId="0" borderId="6" xfId="8" applyBorder="1" applyAlignment="1">
      <alignment horizontal="left" vertical="center" wrapText="1"/>
    </xf>
    <xf numFmtId="0" fontId="78" fillId="0" borderId="7" xfId="8" applyBorder="1" applyAlignment="1">
      <alignment horizontal="left" vertical="center" wrapText="1"/>
    </xf>
    <xf numFmtId="0" fontId="83" fillId="0" borderId="15" xfId="8" applyFont="1" applyBorder="1" applyAlignment="1">
      <alignment vertical="center" wrapText="1"/>
    </xf>
    <xf numFmtId="0" fontId="78" fillId="0" borderId="5" xfId="8" applyBorder="1" applyAlignment="1">
      <alignment vertical="center" wrapText="1"/>
    </xf>
    <xf numFmtId="0" fontId="78" fillId="0" borderId="6" xfId="8" applyBorder="1" applyAlignment="1">
      <alignment vertical="center" wrapText="1"/>
    </xf>
    <xf numFmtId="0" fontId="78" fillId="0" borderId="7" xfId="8" applyBorder="1" applyAlignment="1">
      <alignment vertical="center" wrapText="1"/>
    </xf>
    <xf numFmtId="0" fontId="78" fillId="18" borderId="5" xfId="8" applyFill="1" applyBorder="1" applyAlignment="1">
      <alignment horizontal="left" vertical="center" wrapText="1"/>
    </xf>
    <xf numFmtId="0" fontId="78" fillId="18" borderId="6" xfId="8" applyFill="1" applyBorder="1" applyAlignment="1">
      <alignment horizontal="left" vertical="center" wrapText="1"/>
    </xf>
    <xf numFmtId="0" fontId="78" fillId="18" borderId="7" xfId="8" applyFill="1" applyBorder="1" applyAlignment="1">
      <alignment horizontal="left" vertical="center" wrapText="1"/>
    </xf>
    <xf numFmtId="0" fontId="159" fillId="13" borderId="0" xfId="8" applyFont="1" applyFill="1" applyAlignment="1">
      <alignment vertical="center"/>
    </xf>
    <xf numFmtId="0" fontId="152" fillId="0" borderId="0" xfId="4" applyFont="1" applyAlignment="1" applyProtection="1">
      <alignment horizontal="left"/>
      <protection locked="0"/>
    </xf>
    <xf numFmtId="0" fontId="39" fillId="0" borderId="0" xfId="5" applyFont="1" applyAlignment="1" applyProtection="1">
      <alignment horizontal="left"/>
      <protection locked="0"/>
    </xf>
    <xf numFmtId="0" fontId="84" fillId="0" borderId="0" xfId="5" applyFont="1" applyAlignment="1" applyProtection="1">
      <alignment horizontal="left" vertical="center" wrapText="1"/>
      <protection locked="0"/>
    </xf>
    <xf numFmtId="0" fontId="145" fillId="0" borderId="0" xfId="0" applyFont="1" applyAlignment="1" applyProtection="1">
      <alignment horizontal="left" vertical="top" wrapText="1"/>
      <protection locked="0"/>
    </xf>
    <xf numFmtId="0" fontId="145" fillId="0" borderId="0" xfId="5" applyFont="1" applyAlignment="1" applyProtection="1">
      <alignment horizontal="left" vertical="top" wrapText="1"/>
      <protection locked="0"/>
    </xf>
    <xf numFmtId="0" fontId="45" fillId="0" borderId="81" xfId="5" applyFont="1" applyBorder="1" applyAlignment="1" applyProtection="1">
      <alignment horizontal="center" vertical="center" wrapText="1"/>
      <protection locked="0"/>
    </xf>
    <xf numFmtId="0" fontId="45" fillId="0" borderId="83" xfId="5" applyFont="1" applyBorder="1" applyAlignment="1" applyProtection="1">
      <alignment horizontal="center" vertical="center" wrapText="1"/>
      <protection locked="0"/>
    </xf>
    <xf numFmtId="0" fontId="45" fillId="0" borderId="81" xfId="5" applyFont="1" applyBorder="1" applyAlignment="1" applyProtection="1">
      <alignment horizontal="center" vertical="center"/>
      <protection locked="0"/>
    </xf>
    <xf numFmtId="0" fontId="45" fillId="0" borderId="83" xfId="5" applyFont="1" applyBorder="1" applyAlignment="1" applyProtection="1">
      <alignment horizontal="center" vertical="center"/>
      <protection locked="0"/>
    </xf>
    <xf numFmtId="0" fontId="58" fillId="0" borderId="0" xfId="0" applyFont="1" applyAlignment="1" applyProtection="1">
      <alignment horizontal="left" vertical="center" wrapText="1"/>
      <protection locked="0"/>
    </xf>
    <xf numFmtId="0" fontId="62" fillId="0" borderId="0" xfId="2" applyFont="1" applyAlignment="1" applyProtection="1">
      <alignment horizontal="left" vertical="center"/>
      <protection locked="0"/>
    </xf>
    <xf numFmtId="0" fontId="45" fillId="6" borderId="12" xfId="0" applyFont="1" applyFill="1" applyBorder="1" applyAlignment="1" applyProtection="1">
      <alignment horizontal="center" vertical="center" wrapText="1"/>
      <protection locked="0"/>
    </xf>
    <xf numFmtId="0" fontId="45" fillId="6" borderId="53" xfId="0" applyFont="1" applyFill="1" applyBorder="1" applyAlignment="1" applyProtection="1">
      <alignment horizontal="center" vertical="center" wrapText="1"/>
      <protection locked="0"/>
    </xf>
    <xf numFmtId="0" fontId="45" fillId="6" borderId="11" xfId="0" applyFont="1" applyFill="1" applyBorder="1" applyAlignment="1" applyProtection="1">
      <alignment horizontal="center" vertical="center" wrapText="1"/>
      <protection locked="0"/>
    </xf>
    <xf numFmtId="0" fontId="45" fillId="6" borderId="54" xfId="0" applyFont="1" applyFill="1" applyBorder="1" applyAlignment="1" applyProtection="1">
      <alignment horizontal="center" vertical="center" wrapText="1"/>
      <protection locked="0"/>
    </xf>
    <xf numFmtId="0" fontId="45" fillId="6" borderId="14" xfId="0" applyFont="1" applyFill="1" applyBorder="1" applyAlignment="1" applyProtection="1">
      <alignment horizontal="center" vertical="center" wrapText="1"/>
      <protection locked="0"/>
    </xf>
    <xf numFmtId="0" fontId="45" fillId="6" borderId="55" xfId="0" applyFont="1" applyFill="1" applyBorder="1" applyAlignment="1" applyProtection="1">
      <alignment horizontal="center" vertical="center" wrapText="1"/>
      <protection locked="0"/>
    </xf>
    <xf numFmtId="9" fontId="138" fillId="0" borderId="57" xfId="0" applyNumberFormat="1" applyFont="1" applyBorder="1" applyAlignment="1">
      <alignment horizontal="center" vertical="center" wrapText="1"/>
    </xf>
    <xf numFmtId="9" fontId="138" fillId="0" borderId="58" xfId="0" applyNumberFormat="1" applyFont="1" applyBorder="1" applyAlignment="1">
      <alignment horizontal="center" vertical="center" wrapText="1"/>
    </xf>
    <xf numFmtId="9" fontId="138" fillId="0" borderId="59" xfId="0" applyNumberFormat="1" applyFont="1" applyBorder="1" applyAlignment="1">
      <alignment horizontal="center" vertical="center" wrapText="1"/>
    </xf>
    <xf numFmtId="9" fontId="138" fillId="0" borderId="60" xfId="0" applyNumberFormat="1" applyFont="1" applyBorder="1" applyAlignment="1">
      <alignment horizontal="center" vertical="center" wrapText="1"/>
    </xf>
    <xf numFmtId="9" fontId="138" fillId="0" borderId="0" xfId="0" applyNumberFormat="1" applyFont="1" applyAlignment="1">
      <alignment horizontal="center" vertical="center" wrapText="1"/>
    </xf>
    <xf numFmtId="9" fontId="138" fillId="0" borderId="61" xfId="0" applyNumberFormat="1" applyFont="1" applyBorder="1" applyAlignment="1">
      <alignment horizontal="center" vertical="center" wrapText="1"/>
    </xf>
    <xf numFmtId="9" fontId="138" fillId="0" borderId="62" xfId="0" applyNumberFormat="1" applyFont="1" applyBorder="1" applyAlignment="1">
      <alignment horizontal="center" vertical="center" wrapText="1"/>
    </xf>
    <xf numFmtId="9" fontId="138" fillId="0" borderId="63" xfId="0" applyNumberFormat="1" applyFont="1" applyBorder="1" applyAlignment="1">
      <alignment horizontal="center" vertical="center" wrapText="1"/>
    </xf>
    <xf numFmtId="9" fontId="138" fillId="0" borderId="64" xfId="0" applyNumberFormat="1" applyFont="1" applyBorder="1" applyAlignment="1">
      <alignment horizontal="center" vertical="center" wrapText="1"/>
    </xf>
    <xf numFmtId="0" fontId="110" fillId="0" borderId="40" xfId="0" applyFont="1" applyBorder="1" applyAlignment="1" applyProtection="1">
      <alignment horizontal="center" vertical="center" wrapText="1"/>
      <protection locked="0"/>
    </xf>
    <xf numFmtId="0" fontId="110" fillId="0" borderId="41" xfId="0" applyFont="1" applyBorder="1" applyAlignment="1" applyProtection="1">
      <alignment horizontal="center" vertical="center" wrapText="1"/>
      <protection locked="0"/>
    </xf>
    <xf numFmtId="0" fontId="110" fillId="0" borderId="42" xfId="0" applyFont="1" applyBorder="1" applyAlignment="1" applyProtection="1">
      <alignment horizontal="center" vertical="center" wrapText="1"/>
      <protection locked="0"/>
    </xf>
    <xf numFmtId="0" fontId="110" fillId="0" borderId="43" xfId="0" applyFont="1" applyBorder="1" applyAlignment="1" applyProtection="1">
      <alignment horizontal="center" vertical="center" wrapText="1"/>
      <protection locked="0"/>
    </xf>
    <xf numFmtId="0" fontId="110" fillId="0" borderId="0" xfId="0" applyFont="1" applyAlignment="1" applyProtection="1">
      <alignment horizontal="center" vertical="center" wrapText="1"/>
      <protection locked="0"/>
    </xf>
    <xf numFmtId="0" fontId="110" fillId="0" borderId="44" xfId="0" applyFont="1" applyBorder="1" applyAlignment="1" applyProtection="1">
      <alignment horizontal="center" vertical="center" wrapText="1"/>
      <protection locked="0"/>
    </xf>
    <xf numFmtId="0" fontId="110" fillId="0" borderId="45" xfId="0" applyFont="1" applyBorder="1" applyAlignment="1" applyProtection="1">
      <alignment horizontal="center" vertical="center" wrapText="1"/>
      <protection locked="0"/>
    </xf>
    <xf numFmtId="0" fontId="110" fillId="0" borderId="46" xfId="0" applyFont="1" applyBorder="1" applyAlignment="1" applyProtection="1">
      <alignment horizontal="center" vertical="center" wrapText="1"/>
      <protection locked="0"/>
    </xf>
    <xf numFmtId="0" fontId="110" fillId="0" borderId="47" xfId="0" applyFont="1" applyBorder="1" applyAlignment="1" applyProtection="1">
      <alignment horizontal="center" vertical="center" wrapText="1"/>
      <protection locked="0"/>
    </xf>
    <xf numFmtId="1" fontId="51" fillId="6" borderId="2" xfId="0" applyNumberFormat="1" applyFont="1" applyFill="1" applyBorder="1" applyAlignment="1">
      <alignment horizontal="center" vertical="center"/>
    </xf>
    <xf numFmtId="0" fontId="51" fillId="6" borderId="3" xfId="0" applyFont="1" applyFill="1" applyBorder="1" applyAlignment="1">
      <alignment horizontal="center" vertical="center"/>
    </xf>
    <xf numFmtId="0" fontId="51" fillId="6" borderId="4" xfId="0" applyFont="1" applyFill="1" applyBorder="1" applyAlignment="1">
      <alignment horizontal="center" vertical="center"/>
    </xf>
    <xf numFmtId="0" fontId="77" fillId="0" borderId="54" xfId="1" applyFont="1" applyBorder="1" applyAlignment="1" applyProtection="1">
      <alignment horizontal="center" vertical="center" wrapText="1"/>
      <protection locked="0"/>
    </xf>
    <xf numFmtId="0" fontId="111" fillId="0" borderId="0" xfId="2" applyFont="1" applyAlignment="1" applyProtection="1">
      <alignment horizontal="left" vertical="center"/>
      <protection locked="0"/>
    </xf>
    <xf numFmtId="0" fontId="111" fillId="0" borderId="0" xfId="2" applyFont="1" applyAlignment="1" applyProtection="1">
      <alignment horizontal="left" vertical="center" wrapText="1"/>
      <protection locked="0"/>
    </xf>
    <xf numFmtId="0" fontId="151" fillId="0" borderId="11" xfId="0" applyFont="1" applyBorder="1" applyAlignment="1" applyProtection="1">
      <alignment horizontal="left"/>
      <protection locked="0"/>
    </xf>
    <xf numFmtId="0" fontId="151" fillId="0" borderId="0" xfId="0" applyFont="1" applyAlignment="1" applyProtection="1">
      <alignment horizontal="left"/>
      <protection locked="0"/>
    </xf>
    <xf numFmtId="0" fontId="47" fillId="0" borderId="0" xfId="2" applyFont="1" applyAlignment="1" applyProtection="1">
      <alignment horizontal="center" vertical="center"/>
      <protection locked="0"/>
    </xf>
    <xf numFmtId="0" fontId="108" fillId="0" borderId="0" xfId="2" applyFont="1" applyAlignment="1" applyProtection="1">
      <alignment horizontal="center" vertical="center" wrapText="1"/>
      <protection locked="0"/>
    </xf>
    <xf numFmtId="0" fontId="9" fillId="0" borderId="0" xfId="2" applyFont="1" applyAlignment="1" applyProtection="1">
      <alignment horizontal="center" vertical="center"/>
      <protection locked="0"/>
    </xf>
    <xf numFmtId="0" fontId="45" fillId="0" borderId="57" xfId="0" applyFont="1" applyBorder="1" applyAlignment="1" applyProtection="1">
      <alignment horizontal="center" vertical="center"/>
      <protection locked="0"/>
    </xf>
    <xf numFmtId="0" fontId="45" fillId="0" borderId="58" xfId="0" applyFont="1" applyBorder="1" applyAlignment="1" applyProtection="1">
      <alignment horizontal="center" vertical="center"/>
      <protection locked="0"/>
    </xf>
    <xf numFmtId="0" fontId="45" fillId="0" borderId="59" xfId="0" applyFont="1" applyBorder="1" applyAlignment="1" applyProtection="1">
      <alignment horizontal="center" vertical="center"/>
      <protection locked="0"/>
    </xf>
    <xf numFmtId="0" fontId="45" fillId="0" borderId="60"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45" fillId="0" borderId="61" xfId="0" applyFont="1" applyBorder="1" applyAlignment="1" applyProtection="1">
      <alignment horizontal="center" vertical="center"/>
      <protection locked="0"/>
    </xf>
    <xf numFmtId="0" fontId="45" fillId="0" borderId="62" xfId="0" applyFont="1" applyBorder="1" applyAlignment="1" applyProtection="1">
      <alignment horizontal="center" vertical="center"/>
      <protection locked="0"/>
    </xf>
    <xf numFmtId="0" fontId="45" fillId="0" borderId="63" xfId="0" applyFont="1" applyBorder="1" applyAlignment="1" applyProtection="1">
      <alignment horizontal="center" vertical="center"/>
      <protection locked="0"/>
    </xf>
    <xf numFmtId="0" fontId="45" fillId="0" borderId="64" xfId="0" applyFont="1" applyBorder="1" applyAlignment="1" applyProtection="1">
      <alignment horizontal="center" vertical="center"/>
      <protection locked="0"/>
    </xf>
    <xf numFmtId="0" fontId="45" fillId="0" borderId="0" xfId="0" applyFont="1" applyAlignment="1" applyProtection="1">
      <alignment horizontal="left" vertical="center"/>
      <protection locked="0"/>
    </xf>
    <xf numFmtId="0" fontId="139" fillId="0" borderId="0" xfId="0" applyFont="1" applyAlignment="1" applyProtection="1">
      <alignment horizontal="center" vertical="center"/>
      <protection locked="0"/>
    </xf>
    <xf numFmtId="0" fontId="62" fillId="0" borderId="0" xfId="2" applyFont="1" applyAlignment="1" applyProtection="1">
      <alignment horizontal="center" vertical="center"/>
      <protection locked="0"/>
    </xf>
    <xf numFmtId="49" fontId="106" fillId="0" borderId="0" xfId="2" applyNumberFormat="1" applyFont="1" applyAlignment="1" applyProtection="1">
      <alignment horizontal="center" vertical="center"/>
      <protection locked="0"/>
    </xf>
    <xf numFmtId="0" fontId="51" fillId="0" borderId="0" xfId="2" applyFont="1" applyAlignment="1" applyProtection="1">
      <alignment horizontal="center" vertical="center"/>
      <protection locked="0"/>
    </xf>
    <xf numFmtId="0" fontId="62" fillId="0" borderId="0" xfId="2" applyFont="1" applyAlignment="1" applyProtection="1">
      <alignment horizontal="right" vertical="center"/>
      <protection locked="0"/>
    </xf>
    <xf numFmtId="0" fontId="107" fillId="0" borderId="0" xfId="2" applyFont="1" applyAlignment="1" applyProtection="1">
      <alignment horizontal="left" vertical="center" wrapText="1"/>
      <protection locked="0"/>
    </xf>
    <xf numFmtId="0" fontId="91" fillId="0" borderId="0" xfId="0" applyFont="1" applyAlignment="1" applyProtection="1">
      <alignment horizontal="right" vertical="center"/>
      <protection locked="0"/>
    </xf>
    <xf numFmtId="0" fontId="9" fillId="0" borderId="1" xfId="0" applyFont="1" applyBorder="1" applyAlignment="1" applyProtection="1">
      <alignment horizontal="left" vertical="center" wrapText="1"/>
      <protection locked="0"/>
    </xf>
    <xf numFmtId="0" fontId="45" fillId="0" borderId="0" xfId="1" applyFont="1" applyAlignment="1" applyProtection="1">
      <alignment horizontal="center" vertical="center"/>
      <protection locked="0"/>
    </xf>
    <xf numFmtId="0" fontId="4" fillId="0" borderId="65" xfId="0" applyFont="1" applyBorder="1" applyAlignment="1" applyProtection="1">
      <alignment horizontal="center" vertical="center" wrapText="1"/>
      <protection locked="0"/>
    </xf>
    <xf numFmtId="0" fontId="4" fillId="0" borderId="66" xfId="0" applyFont="1" applyBorder="1" applyAlignment="1" applyProtection="1">
      <alignment horizontal="center" vertical="center" wrapText="1"/>
      <protection locked="0"/>
    </xf>
    <xf numFmtId="0" fontId="58" fillId="0" borderId="0" xfId="0" applyFont="1" applyAlignment="1" applyProtection="1">
      <alignment horizontal="left" vertical="center"/>
      <protection locked="0"/>
    </xf>
    <xf numFmtId="0" fontId="68" fillId="0" borderId="40" xfId="0" applyFont="1" applyBorder="1" applyAlignment="1" applyProtection="1">
      <alignment horizontal="center" vertical="center"/>
      <protection locked="0"/>
    </xf>
    <xf numFmtId="0" fontId="68" fillId="0" borderId="41" xfId="0" applyFont="1" applyBorder="1" applyAlignment="1" applyProtection="1">
      <alignment horizontal="center" vertical="center"/>
      <protection locked="0"/>
    </xf>
    <xf numFmtId="0" fontId="68" fillId="0" borderId="42" xfId="0" applyFont="1" applyBorder="1" applyAlignment="1" applyProtection="1">
      <alignment horizontal="center" vertical="center"/>
      <protection locked="0"/>
    </xf>
    <xf numFmtId="0" fontId="68" fillId="0" borderId="43"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44" xfId="0" applyFont="1" applyBorder="1" applyAlignment="1" applyProtection="1">
      <alignment horizontal="center" vertical="center"/>
      <protection locked="0"/>
    </xf>
    <xf numFmtId="0" fontId="68" fillId="0" borderId="45" xfId="0" applyFont="1" applyBorder="1" applyAlignment="1" applyProtection="1">
      <alignment horizontal="center" vertical="center"/>
      <protection locked="0"/>
    </xf>
    <xf numFmtId="0" fontId="68" fillId="0" borderId="46" xfId="0" applyFont="1" applyBorder="1" applyAlignment="1" applyProtection="1">
      <alignment horizontal="center" vertical="center"/>
      <protection locked="0"/>
    </xf>
    <xf numFmtId="0" fontId="68" fillId="0" borderId="47" xfId="0" applyFont="1" applyBorder="1" applyAlignment="1" applyProtection="1">
      <alignment horizontal="center" vertical="center"/>
      <protection locked="0"/>
    </xf>
    <xf numFmtId="0" fontId="140" fillId="22" borderId="0" xfId="0" applyFont="1" applyFill="1" applyAlignment="1" applyProtection="1">
      <alignment horizontal="left" vertical="center"/>
      <protection locked="0"/>
    </xf>
    <xf numFmtId="0" fontId="45" fillId="13" borderId="0" xfId="0" applyFont="1" applyFill="1" applyAlignment="1">
      <alignment horizontal="center" vertical="center"/>
    </xf>
    <xf numFmtId="0" fontId="52" fillId="13" borderId="0" xfId="0" applyFont="1" applyFill="1" applyAlignment="1">
      <alignment horizontal="center" vertical="center" wrapText="1"/>
    </xf>
    <xf numFmtId="0" fontId="20" fillId="0" borderId="0" xfId="0" applyFont="1" applyAlignment="1">
      <alignment horizontal="left"/>
    </xf>
    <xf numFmtId="0" fontId="56" fillId="0" borderId="2" xfId="0" applyFont="1" applyBorder="1" applyAlignment="1">
      <alignment horizontal="left" vertical="top" wrapText="1"/>
    </xf>
    <xf numFmtId="0" fontId="56" fillId="0" borderId="3" xfId="0" applyFont="1" applyBorder="1" applyAlignment="1">
      <alignment horizontal="left" vertical="top" wrapText="1"/>
    </xf>
    <xf numFmtId="0" fontId="56" fillId="0" borderId="4" xfId="0" applyFont="1" applyBorder="1" applyAlignment="1">
      <alignment horizontal="left" vertical="top" wrapText="1"/>
    </xf>
    <xf numFmtId="0" fontId="56" fillId="0" borderId="3" xfId="0" applyFont="1" applyBorder="1" applyAlignment="1">
      <alignment horizontal="left" vertical="top"/>
    </xf>
    <xf numFmtId="0" fontId="56" fillId="0" borderId="4" xfId="0" applyFont="1" applyBorder="1" applyAlignment="1">
      <alignment horizontal="left" vertical="top"/>
    </xf>
    <xf numFmtId="0" fontId="24" fillId="2" borderId="8" xfId="0" applyFont="1" applyFill="1" applyBorder="1" applyAlignment="1">
      <alignment horizontal="center" wrapText="1"/>
    </xf>
    <xf numFmtId="0" fontId="24" fillId="2" borderId="9" xfId="0" applyFont="1" applyFill="1" applyBorder="1" applyAlignment="1">
      <alignment horizontal="center" wrapText="1"/>
    </xf>
    <xf numFmtId="0" fontId="24" fillId="2" borderId="10" xfId="0" applyFont="1" applyFill="1" applyBorder="1" applyAlignment="1">
      <alignment horizontal="center" wrapText="1"/>
    </xf>
    <xf numFmtId="0" fontId="91" fillId="0" borderId="0" xfId="0" applyFont="1" applyAlignment="1">
      <alignment horizontal="left" vertical="center"/>
    </xf>
    <xf numFmtId="0" fontId="24" fillId="0" borderId="5" xfId="0" applyFont="1" applyBorder="1" applyAlignment="1">
      <alignment horizontal="center" wrapText="1"/>
    </xf>
    <xf numFmtId="0" fontId="24" fillId="0" borderId="6" xfId="0" applyFont="1" applyBorder="1" applyAlignment="1">
      <alignment horizontal="center" vertical="center" wrapText="1"/>
    </xf>
    <xf numFmtId="0" fontId="24" fillId="0" borderId="7" xfId="0" applyFont="1" applyBorder="1" applyAlignment="1">
      <alignment horizontal="center" wrapText="1"/>
    </xf>
    <xf numFmtId="0" fontId="24" fillId="0" borderId="1" xfId="0" applyFont="1" applyBorder="1" applyAlignment="1">
      <alignment horizontal="center" vertical="center" wrapText="1"/>
    </xf>
    <xf numFmtId="0" fontId="24" fillId="0" borderId="1" xfId="0" applyFont="1" applyBorder="1" applyAlignment="1">
      <alignment horizontal="center" wrapText="1"/>
    </xf>
    <xf numFmtId="0" fontId="62" fillId="13" borderId="0" xfId="0" applyFont="1" applyFill="1" applyAlignment="1">
      <alignment horizontal="center" vertical="center"/>
    </xf>
    <xf numFmtId="0" fontId="52" fillId="13" borderId="0" xfId="0" applyFont="1" applyFill="1" applyAlignment="1">
      <alignment horizontal="center" vertical="center"/>
    </xf>
    <xf numFmtId="0" fontId="91" fillId="0" borderId="0" xfId="0" applyFont="1" applyAlignment="1">
      <alignment horizontal="center" vertical="center"/>
    </xf>
    <xf numFmtId="0" fontId="49" fillId="0" borderId="1" xfId="0" applyFont="1" applyBorder="1" applyAlignment="1">
      <alignment horizontal="center" vertical="center" wrapText="1"/>
    </xf>
    <xf numFmtId="0" fontId="49" fillId="0" borderId="1" xfId="0" applyFont="1" applyBorder="1" applyAlignment="1">
      <alignment horizontal="center" wrapText="1"/>
    </xf>
    <xf numFmtId="0" fontId="49" fillId="0" borderId="5" xfId="0" applyFont="1" applyBorder="1" applyAlignment="1">
      <alignment horizontal="center" wrapText="1"/>
    </xf>
    <xf numFmtId="0" fontId="49" fillId="0" borderId="6" xfId="0" applyFont="1" applyBorder="1" applyAlignment="1">
      <alignment horizontal="center" vertical="center" wrapText="1"/>
    </xf>
    <xf numFmtId="0" fontId="49" fillId="0" borderId="7" xfId="0" applyFont="1" applyBorder="1" applyAlignment="1">
      <alignment horizontal="center" wrapText="1"/>
    </xf>
    <xf numFmtId="0" fontId="49" fillId="2" borderId="8" xfId="0" applyFont="1" applyFill="1" applyBorder="1" applyAlignment="1">
      <alignment horizontal="center" wrapText="1"/>
    </xf>
    <xf numFmtId="0" fontId="49" fillId="2" borderId="9" xfId="0" applyFont="1" applyFill="1" applyBorder="1" applyAlignment="1">
      <alignment horizontal="center" wrapText="1"/>
    </xf>
    <xf numFmtId="0" fontId="49" fillId="2" borderId="10" xfId="0" applyFont="1" applyFill="1" applyBorder="1" applyAlignment="1">
      <alignment horizontal="center" wrapText="1"/>
    </xf>
    <xf numFmtId="0" fontId="56" fillId="0" borderId="13" xfId="0" applyFont="1" applyBorder="1" applyAlignment="1">
      <alignment horizontal="center" vertical="top" wrapText="1"/>
    </xf>
    <xf numFmtId="0" fontId="56" fillId="0" borderId="0" xfId="0" applyFont="1" applyAlignment="1">
      <alignment horizontal="center" vertical="top" wrapText="1"/>
    </xf>
    <xf numFmtId="0" fontId="51" fillId="0" borderId="0" xfId="0" applyFont="1" applyAlignment="1">
      <alignment horizontal="center" vertical="center" wrapText="1"/>
    </xf>
    <xf numFmtId="0" fontId="48" fillId="10" borderId="26" xfId="0" applyFont="1" applyFill="1" applyBorder="1" applyAlignment="1">
      <alignment horizontal="center" vertical="center" wrapText="1"/>
    </xf>
    <xf numFmtId="0" fontId="48" fillId="10" borderId="27" xfId="0" applyFont="1" applyFill="1" applyBorder="1" applyAlignment="1">
      <alignment horizontal="center" vertical="center" wrapText="1"/>
    </xf>
    <xf numFmtId="0" fontId="48" fillId="10" borderId="28" xfId="0" applyFont="1" applyFill="1" applyBorder="1" applyAlignment="1">
      <alignment horizontal="center" vertical="center" wrapText="1"/>
    </xf>
    <xf numFmtId="0" fontId="48" fillId="0" borderId="26"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28" xfId="0" applyFont="1" applyBorder="1" applyAlignment="1">
      <alignment horizontal="center" vertical="center" wrapText="1"/>
    </xf>
    <xf numFmtId="0" fontId="52" fillId="13" borderId="0" xfId="0" applyFont="1" applyFill="1" applyAlignment="1">
      <alignment horizontal="center"/>
    </xf>
  </cellXfs>
  <cellStyles count="10">
    <cellStyle name="Hyperlink" xfId="4" builtinId="8"/>
    <cellStyle name="Normal" xfId="0" builtinId="0"/>
    <cellStyle name="Normal 2" xfId="1" xr:uid="{A326E0BD-0086-4222-B43C-07FAA3250403}"/>
    <cellStyle name="Normal 2 2" xfId="8" xr:uid="{28AF379E-0224-3B4E-A48C-5F4C7D452410}"/>
    <cellStyle name="Normal 3" xfId="2" xr:uid="{9C67CB9C-D8E1-4FEA-87BD-D1DFE64DF5D8}"/>
    <cellStyle name="Normal 4" xfId="3" xr:uid="{871E6629-A282-744F-BC74-B1C44C666432}"/>
    <cellStyle name="Normal 4 2" xfId="5" xr:uid="{71EF803D-10DA-4D55-A5AE-6A695F74D242}"/>
    <cellStyle name="Normal 5" xfId="6" xr:uid="{318CCA29-707C-4FB3-8F18-4896C6E7D307}"/>
    <cellStyle name="Normal 6" xfId="7" xr:uid="{46B32F69-5228-DF40-9022-E3BD8540DB5C}"/>
    <cellStyle name="Normal 7" xfId="9" xr:uid="{4C69DFAF-EF9E-304E-BBB7-4A61E0342442}"/>
  </cellStyles>
  <dxfs count="187">
    <dxf>
      <font>
        <color theme="1"/>
      </font>
      <fill>
        <patternFill>
          <bgColor rgb="FF92D050"/>
        </patternFill>
      </fill>
    </dxf>
    <dxf>
      <font>
        <color theme="1"/>
      </font>
      <fill>
        <patternFill>
          <bgColor rgb="FFFFFF00"/>
        </patternFill>
      </fill>
    </dxf>
    <dxf>
      <font>
        <color theme="1"/>
      </font>
      <fill>
        <patternFill>
          <bgColor rgb="FFFFC000"/>
        </patternFill>
      </fill>
    </dxf>
    <dxf>
      <font>
        <color theme="0"/>
      </font>
      <fill>
        <patternFill>
          <bgColor rgb="FFFF0000"/>
        </patternFill>
      </fill>
    </dxf>
    <dxf>
      <font>
        <color theme="0"/>
      </font>
      <fill>
        <patternFill>
          <bgColor rgb="FF7030A0"/>
        </patternFill>
      </fill>
    </dxf>
    <dxf>
      <font>
        <b/>
        <i val="0"/>
        <color theme="0"/>
      </font>
      <fill>
        <patternFill>
          <bgColor theme="9" tint="-0.24994659260841701"/>
        </patternFill>
      </fill>
    </dxf>
    <dxf>
      <font>
        <b/>
        <i val="0"/>
        <color theme="1"/>
      </font>
      <fill>
        <patternFill>
          <bgColor rgb="FF92D050"/>
        </patternFill>
      </fill>
    </dxf>
    <dxf>
      <font>
        <b/>
        <i val="0"/>
        <color theme="1"/>
      </font>
      <fill>
        <patternFill>
          <bgColor theme="9" tint="0.59996337778862885"/>
        </patternFill>
      </fill>
    </dxf>
    <dxf>
      <font>
        <b/>
        <i val="0"/>
        <color theme="0"/>
      </font>
      <fill>
        <patternFill>
          <bgColor rgb="FFFFC000"/>
        </patternFill>
      </fill>
    </dxf>
    <dxf>
      <font>
        <b/>
        <i val="0"/>
        <color theme="0"/>
      </font>
      <fill>
        <patternFill>
          <bgColor rgb="FFFF0000"/>
        </patternFill>
      </fill>
    </dxf>
    <dxf>
      <fill>
        <patternFill patternType="none">
          <bgColor auto="1"/>
        </patternFill>
      </fill>
    </dxf>
    <dxf>
      <font>
        <b/>
        <i val="0"/>
        <color theme="0"/>
      </font>
      <fill>
        <patternFill>
          <bgColor rgb="FFFF0000"/>
        </patternFill>
      </fill>
    </dxf>
    <dxf>
      <font>
        <b/>
        <i val="0"/>
        <color theme="0"/>
      </font>
      <fill>
        <patternFill>
          <bgColor rgb="FF92D050"/>
        </patternFill>
      </fill>
    </dxf>
    <dxf>
      <font>
        <color theme="1"/>
      </font>
      <fill>
        <patternFill>
          <bgColor rgb="FF92D050"/>
        </patternFill>
      </fill>
    </dxf>
    <dxf>
      <font>
        <color theme="1"/>
      </font>
      <fill>
        <patternFill>
          <bgColor rgb="FFFFFF00"/>
        </patternFill>
      </fill>
    </dxf>
    <dxf>
      <font>
        <color theme="1"/>
      </font>
      <fill>
        <patternFill>
          <bgColor rgb="FFFFC000"/>
        </patternFill>
      </fill>
    </dxf>
    <dxf>
      <font>
        <color theme="0"/>
      </font>
      <fill>
        <patternFill>
          <bgColor rgb="FFFF0000"/>
        </patternFill>
      </fill>
    </dxf>
    <dxf>
      <font>
        <color theme="0"/>
      </font>
      <fill>
        <patternFill>
          <bgColor rgb="FF7030A0"/>
        </patternFill>
      </fill>
    </dxf>
    <dxf>
      <fill>
        <patternFill>
          <bgColor theme="9" tint="0.79998168889431442"/>
        </patternFill>
      </fill>
    </dxf>
    <dxf>
      <fill>
        <patternFill>
          <bgColor rgb="FFFF0000"/>
        </patternFill>
      </fill>
    </dxf>
    <dxf>
      <fill>
        <patternFill>
          <bgColor theme="9" tint="0.39994506668294322"/>
        </patternFill>
      </fill>
    </dxf>
    <dxf>
      <fill>
        <patternFill>
          <bgColor theme="9" tint="-0.24994659260841701"/>
        </patternFill>
      </fill>
    </dxf>
    <dxf>
      <fill>
        <patternFill>
          <bgColor rgb="FFFFC000"/>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rgb="FFFFC000"/>
        </patternFill>
      </fill>
    </dxf>
    <dxf>
      <fill>
        <patternFill>
          <bgColor rgb="FFFF0000"/>
        </patternFill>
      </fill>
    </dxf>
    <dxf>
      <fill>
        <patternFill>
          <bgColor theme="9" tint="-0.24994659260841701"/>
        </patternFill>
      </fill>
    </dxf>
    <dxf>
      <fill>
        <patternFill>
          <bgColor rgb="FFFFC000"/>
        </patternFill>
      </fill>
    </dxf>
    <dxf>
      <fill>
        <patternFill>
          <bgColor rgb="FFFF0000"/>
        </patternFill>
      </fill>
    </dxf>
    <dxf>
      <font>
        <color theme="1"/>
      </font>
      <fill>
        <patternFill>
          <bgColor rgb="FF92D050"/>
        </patternFill>
      </fill>
    </dxf>
    <dxf>
      <font>
        <color theme="1"/>
      </font>
      <fill>
        <patternFill>
          <bgColor rgb="FFFFFF00"/>
        </patternFill>
      </fill>
    </dxf>
    <dxf>
      <font>
        <color theme="1"/>
      </font>
      <fill>
        <patternFill>
          <bgColor rgb="FFFFC000"/>
        </patternFill>
      </fill>
    </dxf>
    <dxf>
      <font>
        <color theme="0"/>
      </font>
      <fill>
        <patternFill>
          <bgColor rgb="FFFF0000"/>
        </patternFill>
      </fill>
    </dxf>
    <dxf>
      <font>
        <color theme="0"/>
      </font>
      <fill>
        <patternFill>
          <bgColor rgb="FF7030A0"/>
        </patternFill>
      </fill>
    </dxf>
    <dxf>
      <fill>
        <patternFill>
          <bgColor theme="9" tint="0.79998168889431442"/>
        </patternFill>
      </fill>
    </dxf>
    <dxf>
      <fill>
        <patternFill>
          <bgColor theme="9" tint="0.39994506668294322"/>
        </patternFill>
      </fill>
    </dxf>
    <dxf>
      <font>
        <color theme="1"/>
      </font>
      <fill>
        <patternFill>
          <bgColor rgb="FF92D050"/>
        </patternFill>
      </fill>
    </dxf>
    <dxf>
      <font>
        <color theme="1"/>
      </font>
      <fill>
        <patternFill>
          <bgColor rgb="FFFFFF00"/>
        </patternFill>
      </fill>
    </dxf>
    <dxf>
      <fill>
        <patternFill>
          <bgColor theme="9" tint="0.79998168889431442"/>
        </patternFill>
      </fill>
    </dxf>
    <dxf>
      <fill>
        <patternFill>
          <bgColor theme="9" tint="0.39994506668294322"/>
        </patternFill>
      </fill>
    </dxf>
    <dxf>
      <fill>
        <patternFill>
          <bgColor theme="9" tint="-0.24994659260841701"/>
        </patternFill>
      </fill>
    </dxf>
    <dxf>
      <fill>
        <patternFill>
          <bgColor rgb="FFFFC000"/>
        </patternFill>
      </fill>
    </dxf>
    <dxf>
      <fill>
        <patternFill>
          <bgColor rgb="FFFF0000"/>
        </patternFill>
      </fill>
    </dxf>
    <dxf>
      <font>
        <color theme="0"/>
      </font>
      <fill>
        <patternFill>
          <bgColor rgb="FFFF0000"/>
        </patternFill>
      </fill>
    </dxf>
    <dxf>
      <font>
        <color theme="0"/>
      </font>
      <fill>
        <patternFill>
          <bgColor rgb="FF7030A0"/>
        </patternFill>
      </fill>
    </dxf>
    <dxf>
      <font>
        <color theme="1"/>
      </font>
      <fill>
        <patternFill>
          <bgColor rgb="FFFFC000"/>
        </patternFill>
      </fill>
    </dxf>
    <dxf>
      <font>
        <color theme="1"/>
      </font>
      <fill>
        <patternFill>
          <bgColor rgb="FF92D050"/>
        </patternFill>
      </fill>
    </dxf>
    <dxf>
      <font>
        <color theme="1"/>
      </font>
      <fill>
        <patternFill>
          <bgColor rgb="FFFFFF00"/>
        </patternFill>
      </fill>
    </dxf>
    <dxf>
      <font>
        <color theme="1"/>
      </font>
      <fill>
        <patternFill>
          <bgColor rgb="FFFFC000"/>
        </patternFill>
      </fill>
    </dxf>
    <dxf>
      <font>
        <color theme="0"/>
      </font>
      <fill>
        <patternFill>
          <bgColor rgb="FFFF0000"/>
        </patternFill>
      </fill>
    </dxf>
    <dxf>
      <font>
        <color theme="0"/>
      </font>
      <fill>
        <patternFill>
          <bgColor rgb="FF7030A0"/>
        </patternFill>
      </fill>
    </dxf>
    <dxf>
      <fill>
        <patternFill>
          <bgColor theme="9" tint="0.79998168889431442"/>
        </patternFill>
      </fill>
    </dxf>
    <dxf>
      <fill>
        <patternFill>
          <bgColor rgb="FFFF0000"/>
        </patternFill>
      </fill>
    </dxf>
    <dxf>
      <fill>
        <patternFill>
          <bgColor theme="9" tint="0.39994506668294322"/>
        </patternFill>
      </fill>
    </dxf>
    <dxf>
      <fill>
        <patternFill>
          <bgColor theme="9" tint="-0.24994659260841701"/>
        </patternFill>
      </fill>
    </dxf>
    <dxf>
      <fill>
        <patternFill>
          <bgColor rgb="FFFFC000"/>
        </patternFill>
      </fill>
    </dxf>
    <dxf>
      <fill>
        <patternFill>
          <bgColor theme="9" tint="0.79998168889431442"/>
        </patternFill>
      </fill>
    </dxf>
    <dxf>
      <fill>
        <patternFill>
          <bgColor theme="9" tint="0.39994506668294322"/>
        </patternFill>
      </fill>
    </dxf>
    <dxf>
      <fill>
        <patternFill>
          <bgColor theme="9" tint="-0.24994659260841701"/>
        </patternFill>
      </fill>
    </dxf>
    <dxf>
      <font>
        <color auto="1"/>
      </font>
      <fill>
        <patternFill>
          <bgColor rgb="FFFFC000"/>
        </patternFill>
      </fill>
    </dxf>
    <dxf>
      <fill>
        <patternFill>
          <bgColor rgb="FFFF0000"/>
        </patternFill>
      </fill>
    </dxf>
    <dxf>
      <font>
        <color theme="1"/>
      </font>
      <fill>
        <patternFill>
          <bgColor theme="9" tint="0.59996337778862885"/>
        </patternFill>
      </fill>
    </dxf>
    <dxf>
      <font>
        <color theme="1"/>
      </font>
      <fill>
        <patternFill>
          <bgColor theme="9"/>
        </patternFill>
      </fill>
    </dxf>
    <dxf>
      <font>
        <color theme="0"/>
      </font>
      <fill>
        <patternFill>
          <bgColor theme="9" tint="-0.24994659260841701"/>
        </patternFill>
      </fill>
    </dxf>
    <dxf>
      <font>
        <color auto="1"/>
      </font>
      <fill>
        <patternFill>
          <bgColor theme="7"/>
        </patternFill>
      </fill>
    </dxf>
    <dxf>
      <font>
        <color theme="0"/>
      </font>
      <fill>
        <patternFill>
          <bgColor rgb="FFFF0000"/>
        </patternFill>
      </fill>
    </dxf>
    <dxf>
      <font>
        <color theme="1"/>
      </font>
      <fill>
        <patternFill>
          <bgColor rgb="FF92D050"/>
        </patternFill>
      </fill>
    </dxf>
    <dxf>
      <font>
        <color theme="1"/>
      </font>
      <fill>
        <patternFill>
          <bgColor rgb="FFFFFF00"/>
        </patternFill>
      </fill>
    </dxf>
    <dxf>
      <font>
        <color theme="1"/>
      </font>
      <fill>
        <patternFill>
          <bgColor rgb="FFFFC000"/>
        </patternFill>
      </fill>
    </dxf>
    <dxf>
      <font>
        <color theme="0"/>
      </font>
      <fill>
        <patternFill>
          <bgColor rgb="FFFF0000"/>
        </patternFill>
      </fill>
    </dxf>
    <dxf>
      <font>
        <color theme="0"/>
      </font>
      <fill>
        <patternFill>
          <bgColor rgb="FF7030A0"/>
        </patternFill>
      </fill>
    </dxf>
    <dxf>
      <fill>
        <patternFill>
          <bgColor theme="9" tint="0.79998168889431442"/>
        </patternFill>
      </fill>
    </dxf>
    <dxf>
      <fill>
        <patternFill>
          <bgColor rgb="FFFF0000"/>
        </patternFill>
      </fill>
    </dxf>
    <dxf>
      <fill>
        <patternFill>
          <bgColor theme="9" tint="0.39994506668294322"/>
        </patternFill>
      </fill>
    </dxf>
    <dxf>
      <fill>
        <patternFill>
          <bgColor theme="9" tint="-0.24994659260841701"/>
        </patternFill>
      </fill>
    </dxf>
    <dxf>
      <fill>
        <patternFill>
          <bgColor rgb="FFFFC000"/>
        </patternFill>
      </fill>
    </dxf>
    <dxf>
      <fill>
        <patternFill>
          <bgColor theme="9" tint="0.79998168889431442"/>
        </patternFill>
      </fill>
    </dxf>
    <dxf>
      <fill>
        <patternFill>
          <bgColor theme="9" tint="0.39994506668294322"/>
        </patternFill>
      </fill>
    </dxf>
    <dxf>
      <fill>
        <patternFill>
          <bgColor theme="9" tint="-0.24994659260841701"/>
        </patternFill>
      </fill>
    </dxf>
    <dxf>
      <font>
        <color auto="1"/>
      </font>
      <fill>
        <patternFill>
          <bgColor rgb="FFFFC000"/>
        </patternFill>
      </fill>
    </dxf>
    <dxf>
      <fill>
        <patternFill>
          <bgColor rgb="FFFF0000"/>
        </patternFill>
      </fill>
    </dxf>
    <dxf>
      <font>
        <color theme="1"/>
      </font>
      <fill>
        <patternFill>
          <bgColor theme="9" tint="0.59996337778862885"/>
        </patternFill>
      </fill>
    </dxf>
    <dxf>
      <font>
        <color theme="1"/>
      </font>
      <fill>
        <patternFill>
          <bgColor theme="9"/>
        </patternFill>
      </fill>
    </dxf>
    <dxf>
      <font>
        <color theme="1"/>
      </font>
      <fill>
        <patternFill>
          <bgColor theme="9" tint="-0.24994659260841701"/>
        </patternFill>
      </fill>
    </dxf>
    <dxf>
      <font>
        <color auto="1"/>
      </font>
      <fill>
        <patternFill>
          <bgColor theme="7"/>
        </patternFill>
      </fill>
    </dxf>
    <dxf>
      <font>
        <color theme="0"/>
      </font>
      <fill>
        <patternFill>
          <bgColor rgb="FFFF0000"/>
        </patternFill>
      </fill>
    </dxf>
    <dxf>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border outline="0">
        <left style="thin">
          <color theme="5"/>
        </left>
        <right style="thin">
          <color theme="5"/>
        </right>
        <top style="thin">
          <color theme="5"/>
        </top>
      </border>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0"/>
        <name val="Calibri"/>
        <family val="2"/>
        <scheme val="minor"/>
      </font>
      <fill>
        <patternFill patternType="solid">
          <fgColor theme="5"/>
          <bgColor theme="5"/>
        </patternFill>
      </fill>
    </dxf>
    <dxf>
      <font>
        <b val="0"/>
        <i val="0"/>
        <strike val="0"/>
        <condense val="0"/>
        <extend val="0"/>
        <outline val="0"/>
        <shadow val="0"/>
        <u val="none"/>
        <vertAlign val="baseline"/>
        <sz val="10"/>
        <color theme="1"/>
        <name val="Calibri"/>
        <family val="2"/>
        <scheme val="minor"/>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7" formatCode="#,###,###,###\ &quot;kg C02&quot;"/>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dxf>
    <dxf>
      <font>
        <b val="0"/>
        <i val="0"/>
        <strike val="0"/>
        <condense val="0"/>
        <extend val="0"/>
        <outline val="0"/>
        <shadow val="0"/>
        <u val="none"/>
        <vertAlign val="baseline"/>
        <sz val="10"/>
        <color rgb="FF000000"/>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7" formatCode="#,###,###,###\ &quot;kg C02&quot;"/>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Calibri"/>
        <family val="2"/>
        <scheme val="minor"/>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dxf>
    <dxf>
      <font>
        <b val="0"/>
        <i val="0"/>
        <strike val="0"/>
        <condense val="0"/>
        <extend val="0"/>
        <outline val="0"/>
        <shadow val="0"/>
        <u val="none"/>
        <vertAlign val="baseline"/>
        <sz val="10"/>
        <color rgb="FF000000"/>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Calibri"/>
        <family val="2"/>
        <scheme val="minor"/>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Georgia"/>
        <family val="1"/>
        <scheme val="none"/>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5" formatCode="#\ &quot;km&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Georgia"/>
        <family val="1"/>
        <scheme val="none"/>
      </font>
      <numFmt numFmtId="167" formatCode="#,###,###,###\ &quot;kg C02&quot;"/>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Georgia"/>
        <family val="1"/>
        <scheme val="none"/>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Georgia"/>
        <family val="1"/>
        <scheme val="none"/>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Georgia"/>
        <family val="1"/>
        <scheme val="none"/>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auto="1"/>
        <name val="Georgia"/>
        <family val="1"/>
        <scheme val="none"/>
      </font>
      <numFmt numFmtId="164" formatCode="#,###\ &quot;kg&quot;"/>
      <alignment vertical="center" textRotation="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Segoe UI"/>
        <family val="2"/>
        <scheme val="none"/>
      </font>
      <numFmt numFmtId="164" formatCode="#,###\ &quot;kg&quot;"/>
    </dxf>
    <dxf>
      <font>
        <b val="0"/>
        <i val="0"/>
        <strike val="0"/>
        <condense val="0"/>
        <extend val="0"/>
        <outline val="0"/>
        <shadow val="0"/>
        <u val="none"/>
        <vertAlign val="baseline"/>
        <sz val="10"/>
        <color theme="1"/>
        <name val="Georgia"/>
        <family val="1"/>
        <scheme val="none"/>
      </font>
      <alignment vertical="center" textRotation="0" indent="0" justifyLastLine="0" shrinkToFit="0" readingOrder="0"/>
    </dxf>
    <dxf>
      <font>
        <b val="0"/>
        <i val="0"/>
        <strike val="0"/>
        <condense val="0"/>
        <extend val="0"/>
        <outline val="0"/>
        <shadow val="0"/>
        <u val="none"/>
        <vertAlign val="baseline"/>
        <sz val="10"/>
        <color theme="1"/>
        <name val="Segoe UI"/>
        <family val="2"/>
        <scheme val="none"/>
      </font>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
      <font>
        <b val="0"/>
        <i val="0"/>
        <strike val="0"/>
        <condense val="0"/>
        <extend val="0"/>
        <outline val="0"/>
        <shadow val="0"/>
        <u val="none"/>
        <vertAlign val="baseline"/>
        <sz val="10"/>
        <color theme="1"/>
        <name val="Georgia"/>
        <family val="1"/>
        <scheme val="none"/>
      </font>
      <numFmt numFmtId="164" formatCode="#,###\ &quot;kg&quot;"/>
      <alignment vertical="center" textRotation="0" indent="0" justifyLastLine="0" shrinkToFit="0" readingOrder="0"/>
    </dxf>
  </dxfs>
  <tableStyles count="0" defaultTableStyle="TableStyleMedium2" defaultPivotStyle="PivotStyleLight16"/>
  <colors>
    <mruColors>
      <color rgb="FFA4CE88"/>
      <color rgb="FF92D050"/>
      <color rgb="FFFFDDF1"/>
      <color rgb="FFFF4B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Travel!$P$41</c:f>
              <c:strCache>
                <c:ptCount val="1"/>
                <c:pt idx="0">
                  <c:v>Total emissions (kgCO2e)</c:v>
                </c:pt>
              </c:strCache>
            </c:strRef>
          </c:tx>
          <c:spPr>
            <a:solidFill>
              <a:schemeClr val="accent1"/>
            </a:solidFill>
            <a:ln>
              <a:noFill/>
            </a:ln>
            <a:effectLst/>
          </c:spPr>
          <c:invertIfNegative val="0"/>
          <c:cat>
            <c:strRef>
              <c:f>Travel!$O$42:$O$48</c:f>
              <c:strCache>
                <c:ptCount val="7"/>
                <c:pt idx="0">
                  <c:v>Average van</c:v>
                </c:pt>
                <c:pt idx="1">
                  <c:v>Van - diesel</c:v>
                </c:pt>
                <c:pt idx="2">
                  <c:v>Van - petrol</c:v>
                </c:pt>
                <c:pt idx="3">
                  <c:v>Van - electric</c:v>
                </c:pt>
                <c:pt idx="4">
                  <c:v>HGV</c:v>
                </c:pt>
                <c:pt idx="5">
                  <c:v>Frieght flight</c:v>
                </c:pt>
                <c:pt idx="6">
                  <c:v>Cargo ship</c:v>
                </c:pt>
              </c:strCache>
            </c:strRef>
          </c:cat>
          <c:val>
            <c:numRef>
              <c:f>Travel!$P$42:$P$48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D6B-4F62-A3C5-C8938D2E1A6E}"/>
            </c:ext>
          </c:extLst>
        </c:ser>
        <c:dLbls>
          <c:showLegendKey val="0"/>
          <c:showVal val="0"/>
          <c:showCatName val="0"/>
          <c:showSerName val="0"/>
          <c:showPercent val="0"/>
          <c:showBubbleSize val="0"/>
        </c:dLbls>
        <c:gapWidth val="219"/>
        <c:overlap val="-27"/>
        <c:axId val="507553695"/>
        <c:axId val="519498271"/>
      </c:barChart>
      <c:catAx>
        <c:axId val="5075536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Means of transport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9498271"/>
        <c:crosses val="autoZero"/>
        <c:auto val="1"/>
        <c:lblAlgn val="ctr"/>
        <c:lblOffset val="100"/>
        <c:noMultiLvlLbl val="0"/>
      </c:catAx>
      <c:valAx>
        <c:axId val="51949827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5536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Travel!$P$11</c:f>
              <c:strCache>
                <c:ptCount val="1"/>
                <c:pt idx="0">
                  <c:v>Total emissions (kgCO2e)</c:v>
                </c:pt>
              </c:strCache>
            </c:strRef>
          </c:tx>
          <c:spPr>
            <a:solidFill>
              <a:schemeClr val="accent1"/>
            </a:solidFill>
            <a:ln>
              <a:noFill/>
            </a:ln>
            <a:effectLst/>
          </c:spPr>
          <c:invertIfNegative val="0"/>
          <c:cat>
            <c:strRef>
              <c:f>Travel!$O$12:$O$21</c:f>
              <c:strCache>
                <c:ptCount val="10"/>
                <c:pt idx="0">
                  <c:v>Bicycle</c:v>
                </c:pt>
                <c:pt idx="1">
                  <c:v>Bus</c:v>
                </c:pt>
                <c:pt idx="2">
                  <c:v>Car</c:v>
                </c:pt>
                <c:pt idx="3">
                  <c:v>Coach</c:v>
                </c:pt>
                <c:pt idx="4">
                  <c:v>Plane</c:v>
                </c:pt>
                <c:pt idx="5">
                  <c:v>Ferry</c:v>
                </c:pt>
                <c:pt idx="6">
                  <c:v>Motorbike</c:v>
                </c:pt>
                <c:pt idx="7">
                  <c:v>Taxi</c:v>
                </c:pt>
                <c:pt idx="8">
                  <c:v>Train</c:v>
                </c:pt>
                <c:pt idx="9">
                  <c:v>Van</c:v>
                </c:pt>
              </c:strCache>
            </c:strRef>
          </c:cat>
          <c:val>
            <c:numRef>
              <c:f>Travel!$P$12:$P$21</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EBD-428F-BA74-1B3D82510EEA}"/>
            </c:ext>
          </c:extLst>
        </c:ser>
        <c:dLbls>
          <c:showLegendKey val="0"/>
          <c:showVal val="0"/>
          <c:showCatName val="0"/>
          <c:showSerName val="0"/>
          <c:showPercent val="0"/>
          <c:showBubbleSize val="0"/>
        </c:dLbls>
        <c:gapWidth val="219"/>
        <c:overlap val="-27"/>
        <c:axId val="507557055"/>
        <c:axId val="516414159"/>
      </c:barChart>
      <c:catAx>
        <c:axId val="50755705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Means of transport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16414159"/>
        <c:crosses val="autoZero"/>
        <c:auto val="1"/>
        <c:lblAlgn val="ctr"/>
        <c:lblOffset val="100"/>
        <c:noMultiLvlLbl val="0"/>
      </c:catAx>
      <c:valAx>
        <c:axId val="5164141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07557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77092866905339"/>
          <c:y val="0.23820552784058224"/>
          <c:w val="0.82222902202112969"/>
          <c:h val="0.65866507484830394"/>
        </c:manualLayout>
      </c:layout>
      <c:barChart>
        <c:barDir val="col"/>
        <c:grouping val="clustered"/>
        <c:varyColors val="0"/>
        <c:ser>
          <c:idx val="0"/>
          <c:order val="0"/>
          <c:spPr>
            <a:solidFill>
              <a:srgbClr val="00B050"/>
            </a:solidFill>
            <a:ln>
              <a:noFill/>
            </a:ln>
            <a:effectLst/>
          </c:spPr>
          <c:invertIfNegative val="0"/>
          <c:dPt>
            <c:idx val="0"/>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8-350A-4C65-A132-52D545D621C5}"/>
              </c:ext>
            </c:extLst>
          </c:dPt>
          <c:dPt>
            <c:idx val="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6284-4D5E-8F73-5568FB804701}"/>
              </c:ext>
            </c:extLst>
          </c:dPt>
          <c:dPt>
            <c:idx val="2"/>
            <c:invertIfNegative val="0"/>
            <c:bubble3D val="0"/>
            <c:spPr>
              <a:solidFill>
                <a:schemeClr val="accent6">
                  <a:lumMod val="75000"/>
                </a:schemeClr>
              </a:solidFill>
              <a:ln>
                <a:noFill/>
              </a:ln>
              <a:effectLst/>
            </c:spPr>
            <c:extLst>
              <c:ext xmlns:c16="http://schemas.microsoft.com/office/drawing/2014/chart" uri="{C3380CC4-5D6E-409C-BE32-E72D297353CC}">
                <c16:uniqueId val="{00000002-6284-4D5E-8F73-5568FB804701}"/>
              </c:ext>
            </c:extLst>
          </c:dPt>
          <c:dPt>
            <c:idx val="3"/>
            <c:invertIfNegative val="0"/>
            <c:bubble3D val="0"/>
            <c:spPr>
              <a:solidFill>
                <a:srgbClr val="FFC000"/>
              </a:solidFill>
              <a:ln>
                <a:noFill/>
              </a:ln>
              <a:effectLst/>
            </c:spPr>
            <c:extLst>
              <c:ext xmlns:c16="http://schemas.microsoft.com/office/drawing/2014/chart" uri="{C3380CC4-5D6E-409C-BE32-E72D297353CC}">
                <c16:uniqueId val="{00000003-6284-4D5E-8F73-5568FB804701}"/>
              </c:ext>
            </c:extLst>
          </c:dPt>
          <c:dPt>
            <c:idx val="4"/>
            <c:invertIfNegative val="0"/>
            <c:bubble3D val="0"/>
            <c:spPr>
              <a:solidFill>
                <a:srgbClr val="FF0000"/>
              </a:solidFill>
              <a:ln>
                <a:solidFill>
                  <a:srgbClr val="7030A0"/>
                </a:solidFill>
              </a:ln>
              <a:effectLst/>
            </c:spPr>
            <c:extLst>
              <c:ext xmlns:c16="http://schemas.microsoft.com/office/drawing/2014/chart" uri="{C3380CC4-5D6E-409C-BE32-E72D297353CC}">
                <c16:uniqueId val="{00000007-8FE6-4A54-96DE-441D216B859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'Scenery EST'!$C$19:$G$19</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0-6284-4D5E-8F73-5568FB804701}"/>
            </c:ext>
          </c:extLst>
        </c:ser>
        <c:dLbls>
          <c:dLblPos val="outEnd"/>
          <c:showLegendKey val="0"/>
          <c:showVal val="1"/>
          <c:showCatName val="0"/>
          <c:showSerName val="0"/>
          <c:showPercent val="0"/>
          <c:showBubbleSize val="0"/>
        </c:dLbls>
        <c:gapWidth val="18"/>
        <c:overlap val="-27"/>
        <c:axId val="1775467391"/>
        <c:axId val="1775467807"/>
      </c:barChart>
      <c:catAx>
        <c:axId val="17754673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807"/>
        <c:crosses val="autoZero"/>
        <c:auto val="1"/>
        <c:lblAlgn val="ctr"/>
        <c:lblOffset val="100"/>
        <c:noMultiLvlLbl val="0"/>
      </c:catAx>
      <c:valAx>
        <c:axId val="1775467807"/>
        <c:scaling>
          <c:orientation val="minMax"/>
        </c:scaling>
        <c:delete val="0"/>
        <c:axPos val="l"/>
        <c:majorGridlines>
          <c:spPr>
            <a:ln w="9525" cap="flat" cmpd="sng" algn="ctr">
              <a:solidFill>
                <a:schemeClr val="tx1">
                  <a:lumMod val="15000"/>
                  <a:lumOff val="85000"/>
                </a:schemeClr>
              </a:solidFill>
              <a:round/>
            </a:ln>
            <a:effectLst/>
          </c:spPr>
        </c:majorGridlines>
        <c:numFmt formatCode="#,###\ &quot;kg&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3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5-64BB-4F75-BD4D-E4474C4BC3C3}"/>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4-64BB-4F75-BD4D-E4474C4BC3C3}"/>
              </c:ext>
            </c:extLst>
          </c:dPt>
          <c:dPt>
            <c:idx val="2"/>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3-64BB-4F75-BD4D-E4474C4BC3C3}"/>
              </c:ext>
            </c:extLst>
          </c:dPt>
          <c:dPt>
            <c:idx val="3"/>
            <c:bubble3D val="0"/>
            <c:spPr>
              <a:solidFill>
                <a:srgbClr val="FFC000"/>
              </a:solidFill>
              <a:ln w="19050">
                <a:solidFill>
                  <a:schemeClr val="lt1"/>
                </a:solidFill>
              </a:ln>
              <a:effectLst/>
            </c:spPr>
            <c:extLst>
              <c:ext xmlns:c16="http://schemas.microsoft.com/office/drawing/2014/chart" uri="{C3380CC4-5D6E-409C-BE32-E72D297353CC}">
                <c16:uniqueId val="{00000002-64BB-4F75-BD4D-E4474C4BC3C3}"/>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6AFF-451A-908C-4CBBB65E128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'Scenery EST'!$C$19:$G$19</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0-64BB-4F75-BD4D-E4474C4BC3C3}"/>
            </c:ext>
          </c:extLst>
        </c:ser>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77092866905339"/>
          <c:y val="0.23820552784058224"/>
          <c:w val="0.82222902202112969"/>
          <c:h val="0.65866507484830394"/>
        </c:manualLayout>
      </c:layout>
      <c:barChart>
        <c:barDir val="col"/>
        <c:grouping val="clustered"/>
        <c:varyColors val="0"/>
        <c:ser>
          <c:idx val="0"/>
          <c:order val="0"/>
          <c:spPr>
            <a:solidFill>
              <a:srgbClr val="00B050"/>
            </a:solidFill>
            <a:ln>
              <a:noFill/>
            </a:ln>
            <a:effectLst/>
          </c:spPr>
          <c:invertIfNegative val="0"/>
          <c:dPt>
            <c:idx val="0"/>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8-3DD1-4C48-8921-AEB61B73E135}"/>
              </c:ext>
            </c:extLst>
          </c:dPt>
          <c:dPt>
            <c:idx val="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1-5243-4C76-B4F9-8ECA353D6271}"/>
              </c:ext>
            </c:extLst>
          </c:dPt>
          <c:dPt>
            <c:idx val="2"/>
            <c:invertIfNegative val="0"/>
            <c:bubble3D val="0"/>
            <c:spPr>
              <a:solidFill>
                <a:schemeClr val="accent6">
                  <a:lumMod val="75000"/>
                </a:schemeClr>
              </a:solidFill>
              <a:ln>
                <a:noFill/>
              </a:ln>
              <a:effectLst/>
            </c:spPr>
            <c:extLst>
              <c:ext xmlns:c16="http://schemas.microsoft.com/office/drawing/2014/chart" uri="{C3380CC4-5D6E-409C-BE32-E72D297353CC}">
                <c16:uniqueId val="{00000003-5243-4C76-B4F9-8ECA353D6271}"/>
              </c:ext>
            </c:extLst>
          </c:dPt>
          <c:dPt>
            <c:idx val="3"/>
            <c:invertIfNegative val="0"/>
            <c:bubble3D val="0"/>
            <c:spPr>
              <a:solidFill>
                <a:srgbClr val="FFC000"/>
              </a:solidFill>
              <a:ln>
                <a:noFill/>
              </a:ln>
              <a:effectLst/>
            </c:spPr>
            <c:extLst>
              <c:ext xmlns:c16="http://schemas.microsoft.com/office/drawing/2014/chart" uri="{C3380CC4-5D6E-409C-BE32-E72D297353CC}">
                <c16:uniqueId val="{00000005-5243-4C76-B4F9-8ECA353D6271}"/>
              </c:ext>
            </c:extLst>
          </c:dPt>
          <c:dPt>
            <c:idx val="4"/>
            <c:invertIfNegative val="0"/>
            <c:bubble3D val="0"/>
            <c:spPr>
              <a:solidFill>
                <a:srgbClr val="FF0000"/>
              </a:solidFill>
              <a:ln>
                <a:solidFill>
                  <a:srgbClr val="7030A0"/>
                </a:solidFill>
              </a:ln>
              <a:effectLst/>
            </c:spPr>
            <c:extLst>
              <c:ext xmlns:c16="http://schemas.microsoft.com/office/drawing/2014/chart" uri="{C3380CC4-5D6E-409C-BE32-E72D297353CC}">
                <c16:uniqueId val="{00000007-5243-4C76-B4F9-8ECA353D627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'Costume EST'!$F$19:$J$19</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8-5243-4C76-B4F9-8ECA353D6271}"/>
            </c:ext>
          </c:extLst>
        </c:ser>
        <c:dLbls>
          <c:dLblPos val="outEnd"/>
          <c:showLegendKey val="0"/>
          <c:showVal val="1"/>
          <c:showCatName val="0"/>
          <c:showSerName val="0"/>
          <c:showPercent val="0"/>
          <c:showBubbleSize val="0"/>
        </c:dLbls>
        <c:gapWidth val="18"/>
        <c:overlap val="-27"/>
        <c:axId val="1775467391"/>
        <c:axId val="1775467807"/>
      </c:barChart>
      <c:catAx>
        <c:axId val="17754673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807"/>
        <c:crosses val="autoZero"/>
        <c:auto val="1"/>
        <c:lblAlgn val="ctr"/>
        <c:lblOffset val="100"/>
        <c:noMultiLvlLbl val="0"/>
      </c:catAx>
      <c:valAx>
        <c:axId val="1775467807"/>
        <c:scaling>
          <c:orientation val="minMax"/>
        </c:scaling>
        <c:delete val="0"/>
        <c:axPos val="l"/>
        <c:majorGridlines>
          <c:spPr>
            <a:ln w="9525" cap="flat" cmpd="sng" algn="ctr">
              <a:solidFill>
                <a:schemeClr val="tx1">
                  <a:lumMod val="15000"/>
                  <a:lumOff val="85000"/>
                </a:schemeClr>
              </a:solidFill>
              <a:round/>
            </a:ln>
            <a:effectLst/>
          </c:spPr>
        </c:majorGridlines>
        <c:numFmt formatCode="#,###\ &quot;kg&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3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04913843183534"/>
          <c:y val="0.1561927475543832"/>
          <c:w val="0.7999950604928554"/>
          <c:h val="0.68761450489123366"/>
        </c:manualLayout>
      </c:layout>
      <c:pieChart>
        <c:varyColors val="1"/>
        <c:ser>
          <c:idx val="0"/>
          <c:order val="0"/>
          <c:dPt>
            <c:idx val="0"/>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1-B0E2-4B93-847D-426EDF27C38F}"/>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B0E2-4B93-847D-426EDF27C38F}"/>
              </c:ext>
            </c:extLst>
          </c:dPt>
          <c:dPt>
            <c:idx val="2"/>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5-B0E2-4B93-847D-426EDF27C38F}"/>
              </c:ext>
            </c:extLst>
          </c:dPt>
          <c:dPt>
            <c:idx val="3"/>
            <c:bubble3D val="0"/>
            <c:spPr>
              <a:solidFill>
                <a:srgbClr val="FFC000"/>
              </a:solidFill>
              <a:ln w="19050">
                <a:solidFill>
                  <a:schemeClr val="lt1"/>
                </a:solidFill>
              </a:ln>
              <a:effectLst/>
            </c:spPr>
            <c:extLst>
              <c:ext xmlns:c16="http://schemas.microsoft.com/office/drawing/2014/chart" uri="{C3380CC4-5D6E-409C-BE32-E72D297353CC}">
                <c16:uniqueId val="{00000007-B0E2-4B93-847D-426EDF27C38F}"/>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B0E2-4B93-847D-426EDF27C38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'Costume EST'!$F$19:$J$19</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A-B0E2-4B93-847D-426EDF27C38F}"/>
            </c:ext>
          </c:extLst>
        </c:ser>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77092866905339"/>
          <c:y val="0.23820552784058224"/>
          <c:w val="0.82222902202112969"/>
          <c:h val="0.65866507484830394"/>
        </c:manualLayout>
      </c:layout>
      <c:barChart>
        <c:barDir val="col"/>
        <c:grouping val="clustered"/>
        <c:varyColors val="0"/>
        <c:ser>
          <c:idx val="0"/>
          <c:order val="0"/>
          <c:spPr>
            <a:solidFill>
              <a:srgbClr val="00B050"/>
            </a:solidFill>
            <a:ln>
              <a:noFill/>
            </a:ln>
            <a:effectLst/>
          </c:spPr>
          <c:invertIfNegative val="0"/>
          <c:dPt>
            <c:idx val="0"/>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8-7CE8-4478-ABE9-CCDA261EC6D0}"/>
              </c:ext>
            </c:extLst>
          </c:dPt>
          <c:dPt>
            <c:idx val="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1-CCEE-43BF-BA78-2A73B1096058}"/>
              </c:ext>
            </c:extLst>
          </c:dPt>
          <c:dPt>
            <c:idx val="2"/>
            <c:invertIfNegative val="0"/>
            <c:bubble3D val="0"/>
            <c:spPr>
              <a:solidFill>
                <a:schemeClr val="accent6">
                  <a:lumMod val="75000"/>
                </a:schemeClr>
              </a:solidFill>
              <a:ln>
                <a:noFill/>
              </a:ln>
              <a:effectLst/>
            </c:spPr>
            <c:extLst>
              <c:ext xmlns:c16="http://schemas.microsoft.com/office/drawing/2014/chart" uri="{C3380CC4-5D6E-409C-BE32-E72D297353CC}">
                <c16:uniqueId val="{00000003-CCEE-43BF-BA78-2A73B1096058}"/>
              </c:ext>
            </c:extLst>
          </c:dPt>
          <c:dPt>
            <c:idx val="3"/>
            <c:invertIfNegative val="0"/>
            <c:bubble3D val="0"/>
            <c:spPr>
              <a:solidFill>
                <a:srgbClr val="FFC000"/>
              </a:solidFill>
              <a:ln>
                <a:noFill/>
              </a:ln>
              <a:effectLst/>
            </c:spPr>
            <c:extLst>
              <c:ext xmlns:c16="http://schemas.microsoft.com/office/drawing/2014/chart" uri="{C3380CC4-5D6E-409C-BE32-E72D297353CC}">
                <c16:uniqueId val="{00000005-CCEE-43BF-BA78-2A73B1096058}"/>
              </c:ext>
            </c:extLst>
          </c:dPt>
          <c:dPt>
            <c:idx val="4"/>
            <c:invertIfNegative val="0"/>
            <c:bubble3D val="0"/>
            <c:spPr>
              <a:solidFill>
                <a:srgbClr val="FF0000"/>
              </a:solidFill>
              <a:ln>
                <a:solidFill>
                  <a:srgbClr val="7030A0"/>
                </a:solidFill>
              </a:ln>
              <a:effectLst/>
            </c:spPr>
            <c:extLst>
              <c:ext xmlns:c16="http://schemas.microsoft.com/office/drawing/2014/chart" uri="{C3380CC4-5D6E-409C-BE32-E72D297353CC}">
                <c16:uniqueId val="{00000007-CCEE-43BF-BA78-2A73B10960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'Props &amp; furniture EST'!$C$20:$G$20</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8-CCEE-43BF-BA78-2A73B1096058}"/>
            </c:ext>
          </c:extLst>
        </c:ser>
        <c:dLbls>
          <c:dLblPos val="outEnd"/>
          <c:showLegendKey val="0"/>
          <c:showVal val="1"/>
          <c:showCatName val="0"/>
          <c:showSerName val="0"/>
          <c:showPercent val="0"/>
          <c:showBubbleSize val="0"/>
        </c:dLbls>
        <c:gapWidth val="18"/>
        <c:overlap val="-27"/>
        <c:axId val="1775467391"/>
        <c:axId val="1775467807"/>
      </c:barChart>
      <c:catAx>
        <c:axId val="17754673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807"/>
        <c:crosses val="autoZero"/>
        <c:auto val="1"/>
        <c:lblAlgn val="ctr"/>
        <c:lblOffset val="100"/>
        <c:noMultiLvlLbl val="0"/>
      </c:catAx>
      <c:valAx>
        <c:axId val="1775467807"/>
        <c:scaling>
          <c:orientation val="minMax"/>
        </c:scaling>
        <c:delete val="0"/>
        <c:axPos val="l"/>
        <c:majorGridlines>
          <c:spPr>
            <a:ln w="9525" cap="flat" cmpd="sng" algn="ctr">
              <a:solidFill>
                <a:schemeClr val="tx1">
                  <a:lumMod val="15000"/>
                  <a:lumOff val="85000"/>
                </a:schemeClr>
              </a:solidFill>
              <a:round/>
            </a:ln>
            <a:effectLst/>
          </c:spPr>
        </c:majorGridlines>
        <c:numFmt formatCode="#,###\ &quot;kg&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754673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73413792714257E-2"/>
          <c:y val="4.3949141810039151E-2"/>
          <c:w val="0.77941913681731478"/>
          <c:h val="0.80698096262662633"/>
        </c:manualLayout>
      </c:layout>
      <c:pieChart>
        <c:varyColors val="1"/>
        <c:ser>
          <c:idx val="0"/>
          <c:order val="0"/>
          <c:dPt>
            <c:idx val="0"/>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1-1B69-46EB-A499-7EF6B60DEC3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1B69-46EB-A499-7EF6B60DEC3A}"/>
              </c:ext>
            </c:extLst>
          </c:dPt>
          <c:dPt>
            <c:idx val="2"/>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5-1B69-46EB-A499-7EF6B60DEC3A}"/>
              </c:ext>
            </c:extLst>
          </c:dPt>
          <c:dPt>
            <c:idx val="3"/>
            <c:bubble3D val="0"/>
            <c:spPr>
              <a:solidFill>
                <a:srgbClr val="FFC000"/>
              </a:solidFill>
              <a:ln w="19050">
                <a:solidFill>
                  <a:schemeClr val="lt1"/>
                </a:solidFill>
              </a:ln>
              <a:effectLst/>
            </c:spPr>
            <c:extLst>
              <c:ext xmlns:c16="http://schemas.microsoft.com/office/drawing/2014/chart" uri="{C3380CC4-5D6E-409C-BE32-E72D297353CC}">
                <c16:uniqueId val="{00000007-1B69-46EB-A499-7EF6B60DEC3A}"/>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1B69-46EB-A499-7EF6B60DEC3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'Props &amp; furniture EST'!$C$20:$G$20</c:f>
              <c:numCache>
                <c:formatCode>#,###\ "kg"</c:formatCode>
                <c:ptCount val="5"/>
                <c:pt idx="0">
                  <c:v>0</c:v>
                </c:pt>
                <c:pt idx="1">
                  <c:v>0</c:v>
                </c:pt>
                <c:pt idx="2">
                  <c:v>0</c:v>
                </c:pt>
                <c:pt idx="3">
                  <c:v>0</c:v>
                </c:pt>
                <c:pt idx="4">
                  <c:v>0</c:v>
                </c:pt>
              </c:numCache>
            </c:numRef>
          </c:val>
          <c:extLst>
            <c:ext xmlns:c16="http://schemas.microsoft.com/office/drawing/2014/chart" uri="{C3380CC4-5D6E-409C-BE32-E72D297353CC}">
              <c16:uniqueId val="{0000000A-1B69-46EB-A499-7EF6B60DEC3A}"/>
            </c:ext>
          </c:extLst>
        </c:ser>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4</xdr:col>
      <xdr:colOff>228600</xdr:colOff>
      <xdr:row>2</xdr:row>
      <xdr:rowOff>215900</xdr:rowOff>
    </xdr:from>
    <xdr:to>
      <xdr:col>17</xdr:col>
      <xdr:colOff>228600</xdr:colOff>
      <xdr:row>45</xdr:row>
      <xdr:rowOff>63500</xdr:rowOff>
    </xdr:to>
    <xdr:sp macro="" textlink="">
      <xdr:nvSpPr>
        <xdr:cNvPr id="2" name="Rektangel: afrundede hjørner 4">
          <a:extLst>
            <a:ext uri="{FF2B5EF4-FFF2-40B4-BE49-F238E27FC236}">
              <a16:creationId xmlns:a16="http://schemas.microsoft.com/office/drawing/2014/main" id="{C2EC9F3A-7A16-B14E-8CDA-246C79E6CD87}"/>
            </a:ext>
          </a:extLst>
        </xdr:cNvPr>
        <xdr:cNvSpPr/>
      </xdr:nvSpPr>
      <xdr:spPr>
        <a:xfrm>
          <a:off x="8458200" y="596900"/>
          <a:ext cx="8750300" cy="10210800"/>
        </a:xfrm>
        <a:prstGeom prst="roundRect">
          <a:avLst>
            <a:gd name="adj" fmla="val 3189"/>
          </a:avLst>
        </a:prstGeom>
        <a:noFill/>
        <a:ln w="317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800">
              <a:solidFill>
                <a:schemeClr val="accent6">
                  <a:lumMod val="50000"/>
                </a:schemeClr>
              </a:solidFill>
            </a:rPr>
            <a:t>	</a:t>
          </a:r>
        </a:p>
      </xdr:txBody>
    </xdr:sp>
    <xdr:clientData/>
  </xdr:twoCellAnchor>
  <xdr:twoCellAnchor editAs="oneCell">
    <xdr:from>
      <xdr:col>18</xdr:col>
      <xdr:colOff>92140</xdr:colOff>
      <xdr:row>5</xdr:row>
      <xdr:rowOff>132120</xdr:rowOff>
    </xdr:from>
    <xdr:to>
      <xdr:col>21</xdr:col>
      <xdr:colOff>231579</xdr:colOff>
      <xdr:row>16</xdr:row>
      <xdr:rowOff>25675</xdr:rowOff>
    </xdr:to>
    <xdr:pic>
      <xdr:nvPicPr>
        <xdr:cNvPr id="8" name="Picture 7">
          <a:extLst>
            <a:ext uri="{FF2B5EF4-FFF2-40B4-BE49-F238E27FC236}">
              <a16:creationId xmlns:a16="http://schemas.microsoft.com/office/drawing/2014/main" id="{382BCC89-20A6-4049-946B-2D91D4FF8C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45140" y="1694220"/>
          <a:ext cx="2158739" cy="2855830"/>
        </a:xfrm>
        <a:prstGeom prst="rect">
          <a:avLst/>
        </a:prstGeom>
      </xdr:spPr>
    </xdr:pic>
    <xdr:clientData/>
  </xdr:twoCellAnchor>
  <xdr:twoCellAnchor editAs="oneCell">
    <xdr:from>
      <xdr:col>21</xdr:col>
      <xdr:colOff>647543</xdr:colOff>
      <xdr:row>9</xdr:row>
      <xdr:rowOff>90320</xdr:rowOff>
    </xdr:from>
    <xdr:to>
      <xdr:col>26</xdr:col>
      <xdr:colOff>368574</xdr:colOff>
      <xdr:row>17</xdr:row>
      <xdr:rowOff>104304</xdr:rowOff>
    </xdr:to>
    <xdr:pic>
      <xdr:nvPicPr>
        <xdr:cNvPr id="9" name="Picture 8">
          <a:extLst>
            <a:ext uri="{FF2B5EF4-FFF2-40B4-BE49-F238E27FC236}">
              <a16:creationId xmlns:a16="http://schemas.microsoft.com/office/drawing/2014/main" id="{4809B125-948F-4A42-9A2F-67FD5B3597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19843" y="2757320"/>
          <a:ext cx="2594406" cy="2131709"/>
        </a:xfrm>
        <a:prstGeom prst="rect">
          <a:avLst/>
        </a:prstGeom>
      </xdr:spPr>
    </xdr:pic>
    <xdr:clientData/>
  </xdr:twoCellAnchor>
  <xdr:twoCellAnchor editAs="oneCell">
    <xdr:from>
      <xdr:col>17</xdr:col>
      <xdr:colOff>368300</xdr:colOff>
      <xdr:row>0</xdr:row>
      <xdr:rowOff>177800</xdr:rowOff>
    </xdr:from>
    <xdr:to>
      <xdr:col>27</xdr:col>
      <xdr:colOff>276401</xdr:colOff>
      <xdr:row>5</xdr:row>
      <xdr:rowOff>164747</xdr:rowOff>
    </xdr:to>
    <xdr:pic>
      <xdr:nvPicPr>
        <xdr:cNvPr id="10" name="Picture 9">
          <a:extLst>
            <a:ext uri="{FF2B5EF4-FFF2-40B4-BE49-F238E27FC236}">
              <a16:creationId xmlns:a16="http://schemas.microsoft.com/office/drawing/2014/main" id="{C9E8F3FF-4205-694A-AF66-3EDD8B958E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348200" y="177800"/>
          <a:ext cx="6208888" cy="1552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236463</xdr:colOff>
      <xdr:row>8</xdr:row>
      <xdr:rowOff>136072</xdr:rowOff>
    </xdr:from>
    <xdr:to>
      <xdr:col>6</xdr:col>
      <xdr:colOff>86448</xdr:colOff>
      <xdr:row>13</xdr:row>
      <xdr:rowOff>46332</xdr:rowOff>
    </xdr:to>
    <xdr:pic>
      <xdr:nvPicPr>
        <xdr:cNvPr id="2" name="Billede 1">
          <a:extLst>
            <a:ext uri="{FF2B5EF4-FFF2-40B4-BE49-F238E27FC236}">
              <a16:creationId xmlns:a16="http://schemas.microsoft.com/office/drawing/2014/main" id="{826C72C6-4F3A-6AD3-4C40-23DA8BB61EC4}"/>
            </a:ext>
          </a:extLst>
        </xdr:cNvPr>
        <xdr:cNvPicPr>
          <a:picLocks noChangeAspect="1"/>
        </xdr:cNvPicPr>
      </xdr:nvPicPr>
      <xdr:blipFill>
        <a:blip xmlns:r="http://schemas.openxmlformats.org/officeDocument/2006/relationships" r:embed="rId1"/>
        <a:stretch>
          <a:fillRect/>
        </a:stretch>
      </xdr:blipFill>
      <xdr:spPr>
        <a:xfrm>
          <a:off x="5237906" y="2309474"/>
          <a:ext cx="2858151" cy="11445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49</xdr:row>
      <xdr:rowOff>94190</xdr:rowOff>
    </xdr:from>
    <xdr:to>
      <xdr:col>22</xdr:col>
      <xdr:colOff>693964</xdr:colOff>
      <xdr:row>64</xdr:row>
      <xdr:rowOff>197909</xdr:rowOff>
    </xdr:to>
    <xdr:graphicFrame macro="">
      <xdr:nvGraphicFramePr>
        <xdr:cNvPr id="2" name="Chart 1">
          <a:extLst>
            <a:ext uri="{FF2B5EF4-FFF2-40B4-BE49-F238E27FC236}">
              <a16:creationId xmlns:a16="http://schemas.microsoft.com/office/drawing/2014/main" id="{52593BB7-44BA-4D29-8DA8-F13B4152E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22</xdr:row>
      <xdr:rowOff>94190</xdr:rowOff>
    </xdr:from>
    <xdr:to>
      <xdr:col>23</xdr:col>
      <xdr:colOff>272142</xdr:colOff>
      <xdr:row>36</xdr:row>
      <xdr:rowOff>0</xdr:rowOff>
    </xdr:to>
    <xdr:graphicFrame macro="">
      <xdr:nvGraphicFramePr>
        <xdr:cNvPr id="3" name="Chart 2">
          <a:extLst>
            <a:ext uri="{FF2B5EF4-FFF2-40B4-BE49-F238E27FC236}">
              <a16:creationId xmlns:a16="http://schemas.microsoft.com/office/drawing/2014/main" id="{DB9DB05C-66B5-4A39-A277-38CFB5B312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3170464</xdr:colOff>
      <xdr:row>1</xdr:row>
      <xdr:rowOff>408214</xdr:rowOff>
    </xdr:from>
    <xdr:to>
      <xdr:col>13</xdr:col>
      <xdr:colOff>285750</xdr:colOff>
      <xdr:row>7</xdr:row>
      <xdr:rowOff>299357</xdr:rowOff>
    </xdr:to>
    <xdr:cxnSp macro="">
      <xdr:nvCxnSpPr>
        <xdr:cNvPr id="4" name="Straight Arrow Connector 3">
          <a:extLst>
            <a:ext uri="{FF2B5EF4-FFF2-40B4-BE49-F238E27FC236}">
              <a16:creationId xmlns:a16="http://schemas.microsoft.com/office/drawing/2014/main" id="{9BE20550-6E32-4290-8AD8-4782DA7BF22F}"/>
            </a:ext>
          </a:extLst>
        </xdr:cNvPr>
        <xdr:cNvCxnSpPr/>
      </xdr:nvCxnSpPr>
      <xdr:spPr>
        <a:xfrm>
          <a:off x="22995164" y="611414"/>
          <a:ext cx="3941536" cy="16469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65776</xdr:colOff>
      <xdr:row>69</xdr:row>
      <xdr:rowOff>227818</xdr:rowOff>
    </xdr:from>
    <xdr:to>
      <xdr:col>1</xdr:col>
      <xdr:colOff>1877786</xdr:colOff>
      <xdr:row>82</xdr:row>
      <xdr:rowOff>75747</xdr:rowOff>
    </xdr:to>
    <xdr:pic>
      <xdr:nvPicPr>
        <xdr:cNvPr id="5" name="Picture 4">
          <a:extLst>
            <a:ext uri="{FF2B5EF4-FFF2-40B4-BE49-F238E27FC236}">
              <a16:creationId xmlns:a16="http://schemas.microsoft.com/office/drawing/2014/main" id="{6C86673B-478E-4853-B8B5-803A990653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8526" y="19630243"/>
          <a:ext cx="1805660" cy="2546679"/>
        </a:xfrm>
        <a:prstGeom prst="rect">
          <a:avLst/>
        </a:prstGeom>
      </xdr:spPr>
    </xdr:pic>
    <xdr:clientData/>
  </xdr:twoCellAnchor>
  <xdr:twoCellAnchor editAs="oneCell">
    <xdr:from>
      <xdr:col>2</xdr:col>
      <xdr:colOff>3711575</xdr:colOff>
      <xdr:row>72</xdr:row>
      <xdr:rowOff>101810</xdr:rowOff>
    </xdr:from>
    <xdr:to>
      <xdr:col>4</xdr:col>
      <xdr:colOff>2388507</xdr:colOff>
      <xdr:row>83</xdr:row>
      <xdr:rowOff>141515</xdr:rowOff>
    </xdr:to>
    <xdr:pic>
      <xdr:nvPicPr>
        <xdr:cNvPr id="6" name="Picture 5">
          <a:extLst>
            <a:ext uri="{FF2B5EF4-FFF2-40B4-BE49-F238E27FC236}">
              <a16:creationId xmlns:a16="http://schemas.microsoft.com/office/drawing/2014/main" id="{AB5CB451-ADDF-45EF-BAFC-61A1BB275E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73800" y="20174160"/>
          <a:ext cx="2556782" cy="2274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600074</xdr:colOff>
      <xdr:row>7</xdr:row>
      <xdr:rowOff>21432</xdr:rowOff>
    </xdr:from>
    <xdr:to>
      <xdr:col>6</xdr:col>
      <xdr:colOff>1343025</xdr:colOff>
      <xdr:row>17</xdr:row>
      <xdr:rowOff>32543</xdr:rowOff>
    </xdr:to>
    <xdr:graphicFrame macro="">
      <xdr:nvGraphicFramePr>
        <xdr:cNvPr id="3" name="Diagram 2">
          <a:extLst>
            <a:ext uri="{FF2B5EF4-FFF2-40B4-BE49-F238E27FC236}">
              <a16:creationId xmlns:a16="http://schemas.microsoft.com/office/drawing/2014/main" id="{9C72873B-ACE2-4272-A49E-030D105EB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23813</xdr:colOff>
      <xdr:row>7</xdr:row>
      <xdr:rowOff>4761</xdr:rowOff>
    </xdr:from>
    <xdr:to>
      <xdr:col>23</xdr:col>
      <xdr:colOff>26194</xdr:colOff>
      <xdr:row>27</xdr:row>
      <xdr:rowOff>4762</xdr:rowOff>
    </xdr:to>
    <xdr:graphicFrame macro="">
      <xdr:nvGraphicFramePr>
        <xdr:cNvPr id="5" name="Diagram 4">
          <a:extLst>
            <a:ext uri="{FF2B5EF4-FFF2-40B4-BE49-F238E27FC236}">
              <a16:creationId xmlns:a16="http://schemas.microsoft.com/office/drawing/2014/main" id="{D2831C6B-06BA-41FE-8438-5C64230334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114300</xdr:colOff>
      <xdr:row>25</xdr:row>
      <xdr:rowOff>38100</xdr:rowOff>
    </xdr:from>
    <xdr:to>
      <xdr:col>2</xdr:col>
      <xdr:colOff>1399886</xdr:colOff>
      <xdr:row>26</xdr:row>
      <xdr:rowOff>238124</xdr:rowOff>
    </xdr:to>
    <xdr:sp macro="" textlink="">
      <xdr:nvSpPr>
        <xdr:cNvPr id="2" name="Billedforklaring: nedadgående pil 1">
          <a:extLst>
            <a:ext uri="{FF2B5EF4-FFF2-40B4-BE49-F238E27FC236}">
              <a16:creationId xmlns:a16="http://schemas.microsoft.com/office/drawing/2014/main" id="{A8CDCBEB-6063-4323-82FE-87E0A6F3F0C4}"/>
            </a:ext>
          </a:extLst>
        </xdr:cNvPr>
        <xdr:cNvSpPr/>
      </xdr:nvSpPr>
      <xdr:spPr>
        <a:xfrm>
          <a:off x="2582141" y="5406736"/>
          <a:ext cx="1285586" cy="402070"/>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xdr:txBody>
    </xdr:sp>
    <xdr:clientData/>
  </xdr:twoCellAnchor>
  <xdr:twoCellAnchor>
    <xdr:from>
      <xdr:col>3</xdr:col>
      <xdr:colOff>142875</xdr:colOff>
      <xdr:row>25</xdr:row>
      <xdr:rowOff>38100</xdr:rowOff>
    </xdr:from>
    <xdr:to>
      <xdr:col>3</xdr:col>
      <xdr:colOff>1443182</xdr:colOff>
      <xdr:row>26</xdr:row>
      <xdr:rowOff>238124</xdr:rowOff>
    </xdr:to>
    <xdr:sp macro="" textlink="">
      <xdr:nvSpPr>
        <xdr:cNvPr id="11" name="Billedforklaring: nedadgående pil 10">
          <a:extLst>
            <a:ext uri="{FF2B5EF4-FFF2-40B4-BE49-F238E27FC236}">
              <a16:creationId xmlns:a16="http://schemas.microsoft.com/office/drawing/2014/main" id="{35396381-DB09-4780-A772-52AA3175B3A2}"/>
            </a:ext>
          </a:extLst>
        </xdr:cNvPr>
        <xdr:cNvSpPr/>
      </xdr:nvSpPr>
      <xdr:spPr>
        <a:xfrm>
          <a:off x="4169352" y="5406736"/>
          <a:ext cx="1300307" cy="402070"/>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4</xdr:col>
      <xdr:colOff>171450</xdr:colOff>
      <xdr:row>25</xdr:row>
      <xdr:rowOff>38100</xdr:rowOff>
    </xdr:from>
    <xdr:to>
      <xdr:col>4</xdr:col>
      <xdr:colOff>1371022</xdr:colOff>
      <xdr:row>26</xdr:row>
      <xdr:rowOff>238124</xdr:rowOff>
    </xdr:to>
    <xdr:sp macro="" textlink="">
      <xdr:nvSpPr>
        <xdr:cNvPr id="12" name="Billedforklaring: nedadgående pil 11">
          <a:extLst>
            <a:ext uri="{FF2B5EF4-FFF2-40B4-BE49-F238E27FC236}">
              <a16:creationId xmlns:a16="http://schemas.microsoft.com/office/drawing/2014/main" id="{3B41E982-A057-48C5-9A57-4CF101EA0531}"/>
            </a:ext>
          </a:extLst>
        </xdr:cNvPr>
        <xdr:cNvSpPr/>
      </xdr:nvSpPr>
      <xdr:spPr>
        <a:xfrm>
          <a:off x="5756564" y="5406736"/>
          <a:ext cx="1199572" cy="402070"/>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5</xdr:col>
      <xdr:colOff>200025</xdr:colOff>
      <xdr:row>25</xdr:row>
      <xdr:rowOff>38100</xdr:rowOff>
    </xdr:from>
    <xdr:to>
      <xdr:col>5</xdr:col>
      <xdr:colOff>1428750</xdr:colOff>
      <xdr:row>26</xdr:row>
      <xdr:rowOff>238124</xdr:rowOff>
    </xdr:to>
    <xdr:sp macro="" textlink="">
      <xdr:nvSpPr>
        <xdr:cNvPr id="13" name="Billedforklaring: nedadgående pil 12">
          <a:extLst>
            <a:ext uri="{FF2B5EF4-FFF2-40B4-BE49-F238E27FC236}">
              <a16:creationId xmlns:a16="http://schemas.microsoft.com/office/drawing/2014/main" id="{1BB7C8E4-F89C-4ED4-9565-D068FDA60C65}"/>
            </a:ext>
          </a:extLst>
        </xdr:cNvPr>
        <xdr:cNvSpPr/>
      </xdr:nvSpPr>
      <xdr:spPr>
        <a:xfrm>
          <a:off x="7343775" y="5406736"/>
          <a:ext cx="1228725" cy="402070"/>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6</xdr:col>
      <xdr:colOff>144319</xdr:colOff>
      <xdr:row>25</xdr:row>
      <xdr:rowOff>38100</xdr:rowOff>
    </xdr:from>
    <xdr:to>
      <xdr:col>6</xdr:col>
      <xdr:colOff>1428750</xdr:colOff>
      <xdr:row>26</xdr:row>
      <xdr:rowOff>238124</xdr:rowOff>
    </xdr:to>
    <xdr:sp macro="" textlink="">
      <xdr:nvSpPr>
        <xdr:cNvPr id="20" name="Billedforklaring: nedadgående pil 19">
          <a:extLst>
            <a:ext uri="{FF2B5EF4-FFF2-40B4-BE49-F238E27FC236}">
              <a16:creationId xmlns:a16="http://schemas.microsoft.com/office/drawing/2014/main" id="{EFC2E458-0BE6-42D3-8EE1-B5716DB9A5B7}"/>
            </a:ext>
          </a:extLst>
        </xdr:cNvPr>
        <xdr:cNvSpPr/>
      </xdr:nvSpPr>
      <xdr:spPr>
        <a:xfrm>
          <a:off x="8846705" y="5406736"/>
          <a:ext cx="1284431" cy="402070"/>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8</xdr:col>
      <xdr:colOff>0</xdr:colOff>
      <xdr:row>1</xdr:row>
      <xdr:rowOff>0</xdr:rowOff>
    </xdr:from>
    <xdr:to>
      <xdr:col>8</xdr:col>
      <xdr:colOff>464344</xdr:colOff>
      <xdr:row>1</xdr:row>
      <xdr:rowOff>255984</xdr:rowOff>
    </xdr:to>
    <xdr:sp macro="" textlink="">
      <xdr:nvSpPr>
        <xdr:cNvPr id="10" name="Ellipse 9">
          <a:extLst>
            <a:ext uri="{FF2B5EF4-FFF2-40B4-BE49-F238E27FC236}">
              <a16:creationId xmlns:a16="http://schemas.microsoft.com/office/drawing/2014/main" id="{F3AF13BE-2E91-4995-A367-CA28D712B90C}"/>
            </a:ext>
          </a:extLst>
        </xdr:cNvPr>
        <xdr:cNvSpPr/>
      </xdr:nvSpPr>
      <xdr:spPr>
        <a:xfrm>
          <a:off x="9286875" y="214311"/>
          <a:ext cx="464344" cy="422673"/>
        </a:xfrm>
        <a:prstGeom prst="ellipse">
          <a:avLst/>
        </a:prstGeom>
        <a:solidFill>
          <a:schemeClr val="accent6">
            <a:lumMod val="20000"/>
            <a:lumOff val="8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16</xdr:col>
      <xdr:colOff>0</xdr:colOff>
      <xdr:row>30</xdr:row>
      <xdr:rowOff>209260</xdr:rowOff>
    </xdr:from>
    <xdr:to>
      <xdr:col>23</xdr:col>
      <xdr:colOff>14432</xdr:colOff>
      <xdr:row>47</xdr:row>
      <xdr:rowOff>88900</xdr:rowOff>
    </xdr:to>
    <xdr:sp macro="" textlink="">
      <xdr:nvSpPr>
        <xdr:cNvPr id="4" name="Tekstfelt 3">
          <a:extLst>
            <a:ext uri="{FF2B5EF4-FFF2-40B4-BE49-F238E27FC236}">
              <a16:creationId xmlns:a16="http://schemas.microsoft.com/office/drawing/2014/main" id="{A589CB80-B28E-46D5-80B1-1F6B9DA52E77}"/>
            </a:ext>
          </a:extLst>
        </xdr:cNvPr>
        <xdr:cNvSpPr txBox="1"/>
      </xdr:nvSpPr>
      <xdr:spPr>
        <a:xfrm>
          <a:off x="10401300" y="6825960"/>
          <a:ext cx="5450032" cy="3524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i="1">
              <a:solidFill>
                <a:srgbClr val="FF0000"/>
              </a:solidFill>
            </a:rPr>
            <a:t>Step 1: In</a:t>
          </a:r>
          <a:r>
            <a:rPr lang="en-GB" sz="1400" b="0" i="1" baseline="0">
              <a:solidFill>
                <a:srgbClr val="FF0000"/>
              </a:solidFill>
            </a:rPr>
            <a:t> Column B, f</a:t>
          </a:r>
          <a:r>
            <a:rPr lang="en-GB" sz="1400" b="0" i="1">
              <a:solidFill>
                <a:srgbClr val="FF0000"/>
              </a:solidFill>
            </a:rPr>
            <a:t>ill in element of set</a:t>
          </a:r>
          <a:r>
            <a:rPr lang="en-GB" sz="1400" b="0" i="1" baseline="0">
              <a:solidFill>
                <a:srgbClr val="FF0000"/>
              </a:solidFill>
            </a:rPr>
            <a:t> or scenery</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2: Estimate its weight, using the tables below</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3: Fill in the weight under one of the 5 columns</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baseline="0">
            <a:solidFill>
              <a:srgbClr val="92D05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GREEN </a:t>
          </a:r>
          <a:r>
            <a:rPr lang="en-GB" sz="1400" b="1" i="1" baseline="0">
              <a:solidFill>
                <a:schemeClr val="tx1"/>
              </a:solidFill>
            </a:rPr>
            <a:t>is</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GOLD or RED is </a:t>
          </a:r>
          <a:r>
            <a:rPr lang="en-GB" sz="1400" b="1" i="1" baseline="0">
              <a:solidFill>
                <a:schemeClr val="tx1"/>
              </a:solidFill>
            </a:rPr>
            <a:t>not</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Basic</a:t>
          </a:r>
          <a:r>
            <a:rPr lang="en-GB" sz="1400" b="0" i="1" baseline="0">
              <a:solidFill>
                <a:schemeClr val="tx1"/>
              </a:solidFill>
            </a:rPr>
            <a:t> = 50% Reused / recycled (green)</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Intermediate</a:t>
          </a:r>
          <a:r>
            <a:rPr lang="en-GB" sz="1400" b="0" i="1" baseline="0">
              <a:solidFill>
                <a:schemeClr val="tx1"/>
              </a:solidFill>
            </a:rPr>
            <a:t> = 60% reused /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Advanced</a:t>
          </a:r>
          <a:r>
            <a:rPr lang="en-GB" sz="1400" b="0" i="1" baseline="0">
              <a:solidFill>
                <a:schemeClr val="tx1"/>
              </a:solidFill>
            </a:rPr>
            <a:t> = 75% reused / recycled </a:t>
          </a:r>
          <a:endParaRPr lang="da-DK" sz="1400" b="0" i="1">
            <a:solidFill>
              <a:schemeClr val="tx1"/>
            </a:solidFill>
          </a:endParaRPr>
        </a:p>
      </xdr:txBody>
    </xdr:sp>
    <xdr:clientData/>
  </xdr:twoCellAnchor>
  <xdr:twoCellAnchor>
    <xdr:from>
      <xdr:col>4</xdr:col>
      <xdr:colOff>1553703</xdr:colOff>
      <xdr:row>9</xdr:row>
      <xdr:rowOff>47625</xdr:rowOff>
    </xdr:from>
    <xdr:to>
      <xdr:col>4</xdr:col>
      <xdr:colOff>1553703</xdr:colOff>
      <xdr:row>27</xdr:row>
      <xdr:rowOff>2896</xdr:rowOff>
    </xdr:to>
    <xdr:cxnSp macro="">
      <xdr:nvCxnSpPr>
        <xdr:cNvPr id="8" name="Lige forbindelse 7">
          <a:extLst>
            <a:ext uri="{FF2B5EF4-FFF2-40B4-BE49-F238E27FC236}">
              <a16:creationId xmlns:a16="http://schemas.microsoft.com/office/drawing/2014/main" id="{CBE6F9FE-9FBC-F7D6-5F09-7A41DC26A908}"/>
            </a:ext>
          </a:extLst>
        </xdr:cNvPr>
        <xdr:cNvCxnSpPr/>
      </xdr:nvCxnSpPr>
      <xdr:spPr>
        <a:xfrm>
          <a:off x="7144322" y="1906800"/>
          <a:ext cx="0" cy="3896199"/>
        </a:xfrm>
        <a:prstGeom prst="line">
          <a:avLst/>
        </a:prstGeom>
        <a:ln w="38100">
          <a:prstDash val="sysDash"/>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65464</xdr:colOff>
      <xdr:row>8</xdr:row>
      <xdr:rowOff>26186</xdr:rowOff>
    </xdr:from>
    <xdr:to>
      <xdr:col>6</xdr:col>
      <xdr:colOff>1034330</xdr:colOff>
      <xdr:row>10</xdr:row>
      <xdr:rowOff>170207</xdr:rowOff>
    </xdr:to>
    <xdr:sp macro="" textlink="">
      <xdr:nvSpPr>
        <xdr:cNvPr id="7" name="TextBox 6">
          <a:extLst>
            <a:ext uri="{FF2B5EF4-FFF2-40B4-BE49-F238E27FC236}">
              <a16:creationId xmlns:a16="http://schemas.microsoft.com/office/drawing/2014/main" id="{261BAFF4-BD4A-AC01-BB55-D7D78FD68EB7}"/>
            </a:ext>
          </a:extLst>
        </xdr:cNvPr>
        <xdr:cNvSpPr txBox="1"/>
      </xdr:nvSpPr>
      <xdr:spPr>
        <a:xfrm>
          <a:off x="7214124" y="1832990"/>
          <a:ext cx="2526907" cy="405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solidFill>
                <a:schemeClr val="accent4"/>
              </a:solidFill>
            </a:rPr>
            <a:t>NEW</a:t>
          </a:r>
        </a:p>
      </xdr:txBody>
    </xdr:sp>
    <xdr:clientData/>
  </xdr:twoCellAnchor>
  <xdr:twoCellAnchor>
    <xdr:from>
      <xdr:col>2</xdr:col>
      <xdr:colOff>628454</xdr:colOff>
      <xdr:row>8</xdr:row>
      <xdr:rowOff>26186</xdr:rowOff>
    </xdr:from>
    <xdr:to>
      <xdr:col>4</xdr:col>
      <xdr:colOff>1466390</xdr:colOff>
      <xdr:row>10</xdr:row>
      <xdr:rowOff>170207</xdr:rowOff>
    </xdr:to>
    <xdr:sp macro="" textlink="">
      <xdr:nvSpPr>
        <xdr:cNvPr id="9" name="TextBox 8">
          <a:extLst>
            <a:ext uri="{FF2B5EF4-FFF2-40B4-BE49-F238E27FC236}">
              <a16:creationId xmlns:a16="http://schemas.microsoft.com/office/drawing/2014/main" id="{0A7A3DB4-E551-5556-7269-A75097E36CCA}"/>
            </a:ext>
          </a:extLst>
        </xdr:cNvPr>
        <xdr:cNvSpPr txBox="1"/>
      </xdr:nvSpPr>
      <xdr:spPr>
        <a:xfrm>
          <a:off x="3102990" y="1832990"/>
          <a:ext cx="3954019" cy="405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800" b="1">
              <a:solidFill>
                <a:schemeClr val="accent6"/>
              </a:solidFill>
            </a:rPr>
            <a:t>REUSED / RECYCLED</a:t>
          </a:r>
        </a:p>
      </xdr:txBody>
    </xdr:sp>
    <xdr:clientData/>
  </xdr:twoCellAnchor>
  <xdr:twoCellAnchor>
    <xdr:from>
      <xdr:col>1</xdr:col>
      <xdr:colOff>115455</xdr:colOff>
      <xdr:row>21</xdr:row>
      <xdr:rowOff>139123</xdr:rowOff>
    </xdr:from>
    <xdr:to>
      <xdr:col>1</xdr:col>
      <xdr:colOff>1401041</xdr:colOff>
      <xdr:row>26</xdr:row>
      <xdr:rowOff>86591</xdr:rowOff>
    </xdr:to>
    <xdr:sp macro="" textlink="">
      <xdr:nvSpPr>
        <xdr:cNvPr id="16" name="Billedforklaring: nedadgående pil 1">
          <a:extLst>
            <a:ext uri="{FF2B5EF4-FFF2-40B4-BE49-F238E27FC236}">
              <a16:creationId xmlns:a16="http://schemas.microsoft.com/office/drawing/2014/main" id="{27D4351A-9F88-E748-DCE6-03B6EEC7E6F6}"/>
            </a:ext>
          </a:extLst>
        </xdr:cNvPr>
        <xdr:cNvSpPr/>
      </xdr:nvSpPr>
      <xdr:spPr>
        <a:xfrm>
          <a:off x="808182" y="4598555"/>
          <a:ext cx="1285586" cy="105871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element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148950</xdr:colOff>
      <xdr:row>7</xdr:row>
      <xdr:rowOff>44451</xdr:rowOff>
    </xdr:from>
    <xdr:to>
      <xdr:col>9</xdr:col>
      <xdr:colOff>1005679</xdr:colOff>
      <xdr:row>17</xdr:row>
      <xdr:rowOff>68262</xdr:rowOff>
    </xdr:to>
    <xdr:graphicFrame macro="">
      <xdr:nvGraphicFramePr>
        <xdr:cNvPr id="2" name="Diagram 1">
          <a:extLst>
            <a:ext uri="{FF2B5EF4-FFF2-40B4-BE49-F238E27FC236}">
              <a16:creationId xmlns:a16="http://schemas.microsoft.com/office/drawing/2014/main" id="{8392CF13-4823-4F77-AD7E-9025297E0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23813</xdr:colOff>
      <xdr:row>7</xdr:row>
      <xdr:rowOff>4761</xdr:rowOff>
    </xdr:from>
    <xdr:to>
      <xdr:col>26</xdr:col>
      <xdr:colOff>26194</xdr:colOff>
      <xdr:row>27</xdr:row>
      <xdr:rowOff>4762</xdr:rowOff>
    </xdr:to>
    <xdr:graphicFrame macro="">
      <xdr:nvGraphicFramePr>
        <xdr:cNvPr id="3" name="Diagram 2">
          <a:extLst>
            <a:ext uri="{FF2B5EF4-FFF2-40B4-BE49-F238E27FC236}">
              <a16:creationId xmlns:a16="http://schemas.microsoft.com/office/drawing/2014/main" id="{5B15D680-4095-491C-ABD7-4ADA0A70E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62716</xdr:colOff>
      <xdr:row>21</xdr:row>
      <xdr:rowOff>119062</xdr:rowOff>
    </xdr:from>
    <xdr:to>
      <xdr:col>4</xdr:col>
      <xdr:colOff>843875</xdr:colOff>
      <xdr:row>26</xdr:row>
      <xdr:rowOff>95251</xdr:rowOff>
    </xdr:to>
    <xdr:sp macro="" textlink="">
      <xdr:nvSpPr>
        <xdr:cNvPr id="4" name="Billedforklaring: nedadgående pil 3">
          <a:extLst>
            <a:ext uri="{FF2B5EF4-FFF2-40B4-BE49-F238E27FC236}">
              <a16:creationId xmlns:a16="http://schemas.microsoft.com/office/drawing/2014/main" id="{AFC94640-DAF2-4185-B53A-61626882F310}"/>
            </a:ext>
          </a:extLst>
        </xdr:cNvPr>
        <xdr:cNvSpPr/>
      </xdr:nvSpPr>
      <xdr:spPr>
        <a:xfrm>
          <a:off x="5048642" y="4760050"/>
          <a:ext cx="781159" cy="995324"/>
        </a:xfrm>
        <a:prstGeom prst="downArrowCallout">
          <a:avLst>
            <a:gd name="adj1" fmla="val 25000"/>
            <a:gd name="adj2" fmla="val 25000"/>
            <a:gd name="adj3" fmla="val 33000"/>
            <a:gd name="adj4" fmla="val 62553"/>
          </a:avLst>
        </a:prstGeom>
        <a:solidFill>
          <a:srgbClr val="FFDDF1"/>
        </a:solidFill>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GB" sz="1100" b="0" i="0">
              <a:solidFill>
                <a:schemeClr val="dk1"/>
              </a:solidFill>
              <a:effectLst/>
              <a:latin typeface="+mn-lt"/>
              <a:ea typeface="+mn-ea"/>
              <a:cs typeface="+mn-cs"/>
            </a:rPr>
            <a:t>NUMBER of items</a:t>
          </a:r>
          <a:endParaRPr lang="da-DK" sz="1100">
            <a:solidFill>
              <a:srgbClr val="FF0000"/>
            </a:solidFill>
          </a:endParaRPr>
        </a:p>
      </xdr:txBody>
    </xdr:sp>
    <xdr:clientData/>
  </xdr:twoCellAnchor>
  <xdr:twoCellAnchor>
    <xdr:from>
      <xdr:col>11</xdr:col>
      <xdr:colOff>0</xdr:colOff>
      <xdr:row>1</xdr:row>
      <xdr:rowOff>0</xdr:rowOff>
    </xdr:from>
    <xdr:to>
      <xdr:col>11</xdr:col>
      <xdr:colOff>464344</xdr:colOff>
      <xdr:row>1</xdr:row>
      <xdr:rowOff>255984</xdr:rowOff>
    </xdr:to>
    <xdr:sp macro="" textlink="">
      <xdr:nvSpPr>
        <xdr:cNvPr id="9" name="Ellipse 8">
          <a:extLst>
            <a:ext uri="{FF2B5EF4-FFF2-40B4-BE49-F238E27FC236}">
              <a16:creationId xmlns:a16="http://schemas.microsoft.com/office/drawing/2014/main" id="{EFB80F81-8321-462C-9635-7AE739D1F143}"/>
            </a:ext>
          </a:extLst>
        </xdr:cNvPr>
        <xdr:cNvSpPr/>
      </xdr:nvSpPr>
      <xdr:spPr>
        <a:xfrm>
          <a:off x="9020175" y="200025"/>
          <a:ext cx="0" cy="255984"/>
        </a:xfrm>
        <a:prstGeom prst="ellipse">
          <a:avLst/>
        </a:prstGeom>
        <a:solidFill>
          <a:schemeClr val="accent6">
            <a:lumMod val="20000"/>
            <a:lumOff val="8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8</xdr:col>
      <xdr:colOff>39</xdr:colOff>
      <xdr:row>9</xdr:row>
      <xdr:rowOff>23812</xdr:rowOff>
    </xdr:from>
    <xdr:to>
      <xdr:col>8</xdr:col>
      <xdr:colOff>39</xdr:colOff>
      <xdr:row>26</xdr:row>
      <xdr:rowOff>380999</xdr:rowOff>
    </xdr:to>
    <xdr:cxnSp macro="">
      <xdr:nvCxnSpPr>
        <xdr:cNvPr id="14" name="Lige forbindelse 13">
          <a:extLst>
            <a:ext uri="{FF2B5EF4-FFF2-40B4-BE49-F238E27FC236}">
              <a16:creationId xmlns:a16="http://schemas.microsoft.com/office/drawing/2014/main" id="{7EF531E9-E59D-428C-AC0B-52199D668D2A}"/>
            </a:ext>
          </a:extLst>
        </xdr:cNvPr>
        <xdr:cNvCxnSpPr/>
      </xdr:nvCxnSpPr>
      <xdr:spPr>
        <a:xfrm>
          <a:off x="9493681" y="1873935"/>
          <a:ext cx="0" cy="4167187"/>
        </a:xfrm>
        <a:prstGeom prst="line">
          <a:avLst/>
        </a:prstGeom>
        <a:ln w="38100">
          <a:prstDash val="sysDash"/>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1</xdr:col>
      <xdr:colOff>130970</xdr:colOff>
      <xdr:row>20</xdr:row>
      <xdr:rowOff>139701</xdr:rowOff>
    </xdr:from>
    <xdr:to>
      <xdr:col>2</xdr:col>
      <xdr:colOff>1997956</xdr:colOff>
      <xdr:row>26</xdr:row>
      <xdr:rowOff>86313</xdr:rowOff>
    </xdr:to>
    <xdr:pic>
      <xdr:nvPicPr>
        <xdr:cNvPr id="17" name="Billede 16">
          <a:extLst>
            <a:ext uri="{FF2B5EF4-FFF2-40B4-BE49-F238E27FC236}">
              <a16:creationId xmlns:a16="http://schemas.microsoft.com/office/drawing/2014/main" id="{76FD7372-B8C4-543C-3B9D-730D87BA54A7}"/>
            </a:ext>
          </a:extLst>
        </xdr:cNvPr>
        <xdr:cNvPicPr>
          <a:picLocks noChangeAspect="1"/>
        </xdr:cNvPicPr>
      </xdr:nvPicPr>
      <xdr:blipFill>
        <a:blip xmlns:r="http://schemas.openxmlformats.org/officeDocument/2006/relationships" r:embed="rId3"/>
        <a:stretch>
          <a:fillRect/>
        </a:stretch>
      </xdr:blipFill>
      <xdr:spPr>
        <a:xfrm>
          <a:off x="773908" y="4294982"/>
          <a:ext cx="3057611" cy="1420018"/>
        </a:xfrm>
        <a:prstGeom prst="rect">
          <a:avLst/>
        </a:prstGeom>
      </xdr:spPr>
    </xdr:pic>
    <xdr:clientData/>
  </xdr:twoCellAnchor>
  <xdr:twoCellAnchor>
    <xdr:from>
      <xdr:col>8</xdr:col>
      <xdr:colOff>89467</xdr:colOff>
      <xdr:row>7</xdr:row>
      <xdr:rowOff>23519</xdr:rowOff>
    </xdr:from>
    <xdr:to>
      <xdr:col>9</xdr:col>
      <xdr:colOff>1143000</xdr:colOff>
      <xdr:row>10</xdr:row>
      <xdr:rowOff>123655</xdr:rowOff>
    </xdr:to>
    <xdr:sp macro="" textlink="">
      <xdr:nvSpPr>
        <xdr:cNvPr id="5" name="TextBox 4">
          <a:extLst>
            <a:ext uri="{FF2B5EF4-FFF2-40B4-BE49-F238E27FC236}">
              <a16:creationId xmlns:a16="http://schemas.microsoft.com/office/drawing/2014/main" id="{680B75BE-7B9C-6540-87DC-0D233B5E0271}"/>
            </a:ext>
          </a:extLst>
        </xdr:cNvPr>
        <xdr:cNvSpPr txBox="1"/>
      </xdr:nvSpPr>
      <xdr:spPr>
        <a:xfrm>
          <a:off x="9576367" y="1788819"/>
          <a:ext cx="2234633" cy="4049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solidFill>
                <a:schemeClr val="accent4"/>
              </a:solidFill>
            </a:rPr>
            <a:t>NEW</a:t>
          </a:r>
        </a:p>
      </xdr:txBody>
    </xdr:sp>
    <xdr:clientData/>
  </xdr:twoCellAnchor>
  <xdr:twoCellAnchor>
    <xdr:from>
      <xdr:col>4</xdr:col>
      <xdr:colOff>458611</xdr:colOff>
      <xdr:row>7</xdr:row>
      <xdr:rowOff>23519</xdr:rowOff>
    </xdr:from>
    <xdr:to>
      <xdr:col>7</xdr:col>
      <xdr:colOff>1108278</xdr:colOff>
      <xdr:row>10</xdr:row>
      <xdr:rowOff>123655</xdr:rowOff>
    </xdr:to>
    <xdr:sp macro="" textlink="">
      <xdr:nvSpPr>
        <xdr:cNvPr id="6" name="TextBox 5">
          <a:extLst>
            <a:ext uri="{FF2B5EF4-FFF2-40B4-BE49-F238E27FC236}">
              <a16:creationId xmlns:a16="http://schemas.microsoft.com/office/drawing/2014/main" id="{44DC60B4-FE0D-7C4C-B7D5-93254A13ADAA}"/>
            </a:ext>
          </a:extLst>
        </xdr:cNvPr>
        <xdr:cNvSpPr txBox="1"/>
      </xdr:nvSpPr>
      <xdr:spPr>
        <a:xfrm>
          <a:off x="5444537" y="1763889"/>
          <a:ext cx="3954019" cy="405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800" b="1">
              <a:solidFill>
                <a:schemeClr val="accent6"/>
              </a:solidFill>
            </a:rPr>
            <a:t>REUSED / RECYCLED</a:t>
          </a:r>
        </a:p>
      </xdr:txBody>
    </xdr:sp>
    <xdr:clientData/>
  </xdr:twoCellAnchor>
  <xdr:twoCellAnchor>
    <xdr:from>
      <xdr:col>18</xdr:col>
      <xdr:colOff>70555</xdr:colOff>
      <xdr:row>30</xdr:row>
      <xdr:rowOff>246945</xdr:rowOff>
    </xdr:from>
    <xdr:to>
      <xdr:col>26</xdr:col>
      <xdr:colOff>188148</xdr:colOff>
      <xdr:row>48</xdr:row>
      <xdr:rowOff>88901</xdr:rowOff>
    </xdr:to>
    <xdr:sp macro="" textlink="">
      <xdr:nvSpPr>
        <xdr:cNvPr id="7" name="Tekstfelt 3">
          <a:extLst>
            <a:ext uri="{FF2B5EF4-FFF2-40B4-BE49-F238E27FC236}">
              <a16:creationId xmlns:a16="http://schemas.microsoft.com/office/drawing/2014/main" id="{9553B7C6-34B7-6C48-9729-30E1A5CBA63A}"/>
            </a:ext>
          </a:extLst>
        </xdr:cNvPr>
        <xdr:cNvSpPr txBox="1"/>
      </xdr:nvSpPr>
      <xdr:spPr>
        <a:xfrm>
          <a:off x="11919655" y="6901745"/>
          <a:ext cx="4232393" cy="4794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i="1">
              <a:solidFill>
                <a:srgbClr val="FF0000"/>
              </a:solidFill>
            </a:rPr>
            <a:t>Step 1: Read column B, which defines each piece of clothing by size</a:t>
          </a:r>
          <a:endParaRPr lang="en-GB" sz="1400" b="0" i="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2: Read column C, which offers 5 categories of sustainability for each</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3: Fill in the </a:t>
          </a:r>
          <a:r>
            <a:rPr lang="en-GB" sz="1400" b="1" i="1" baseline="0">
              <a:solidFill>
                <a:srgbClr val="FF0000"/>
              </a:solidFill>
            </a:rPr>
            <a:t>number</a:t>
          </a:r>
          <a:r>
            <a:rPr lang="en-GB" sz="1400" b="0" i="1" baseline="0">
              <a:solidFill>
                <a:srgbClr val="FF0000"/>
              </a:solidFill>
            </a:rPr>
            <a:t> of items in the pink column E</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rgbClr val="92D05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Everything else will fill in automatically</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GREEN </a:t>
          </a:r>
          <a:r>
            <a:rPr lang="en-GB" sz="1400" b="1" i="1" baseline="0">
              <a:solidFill>
                <a:schemeClr val="tx1"/>
              </a:solidFill>
            </a:rPr>
            <a:t>is</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GOLD or RED is </a:t>
          </a:r>
          <a:r>
            <a:rPr lang="en-GB" sz="1400" b="1" i="1" baseline="0">
              <a:solidFill>
                <a:schemeClr val="tx1"/>
              </a:solidFill>
            </a:rPr>
            <a:t>not</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Basic</a:t>
          </a:r>
          <a:r>
            <a:rPr lang="en-GB" sz="1400" b="0" i="1" baseline="0">
              <a:solidFill>
                <a:schemeClr val="tx1"/>
              </a:solidFill>
            </a:rPr>
            <a:t> = 50% Reused / recycled (green)</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Intermediate</a:t>
          </a:r>
          <a:r>
            <a:rPr lang="en-GB" sz="1400" b="0" i="1" baseline="0">
              <a:solidFill>
                <a:schemeClr val="tx1"/>
              </a:solidFill>
            </a:rPr>
            <a:t> = 60% reused /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Advanced</a:t>
          </a:r>
          <a:r>
            <a:rPr lang="en-GB" sz="1400" b="0" i="1" baseline="0">
              <a:solidFill>
                <a:schemeClr val="tx1"/>
              </a:solidFill>
            </a:rPr>
            <a:t> = 75% reused / recycled </a:t>
          </a:r>
          <a:endParaRPr lang="da-DK" sz="1400" b="0" i="1">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40480</xdr:colOff>
      <xdr:row>9</xdr:row>
      <xdr:rowOff>9526</xdr:rowOff>
    </xdr:from>
    <xdr:to>
      <xdr:col>15</xdr:col>
      <xdr:colOff>21431</xdr:colOff>
      <xdr:row>18</xdr:row>
      <xdr:rowOff>80168</xdr:rowOff>
    </xdr:to>
    <xdr:graphicFrame macro="">
      <xdr:nvGraphicFramePr>
        <xdr:cNvPr id="2" name="Diagram 1">
          <a:extLst>
            <a:ext uri="{FF2B5EF4-FFF2-40B4-BE49-F238E27FC236}">
              <a16:creationId xmlns:a16="http://schemas.microsoft.com/office/drawing/2014/main" id="{943E76C3-1824-47D2-8437-206FA2F99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23813</xdr:colOff>
      <xdr:row>8</xdr:row>
      <xdr:rowOff>4761</xdr:rowOff>
    </xdr:from>
    <xdr:to>
      <xdr:col>23</xdr:col>
      <xdr:colOff>26194</xdr:colOff>
      <xdr:row>28</xdr:row>
      <xdr:rowOff>4762</xdr:rowOff>
    </xdr:to>
    <xdr:graphicFrame macro="">
      <xdr:nvGraphicFramePr>
        <xdr:cNvPr id="3" name="Diagram 2">
          <a:extLst>
            <a:ext uri="{FF2B5EF4-FFF2-40B4-BE49-F238E27FC236}">
              <a16:creationId xmlns:a16="http://schemas.microsoft.com/office/drawing/2014/main" id="{AB28ADF8-726F-40E6-AFD5-54EF74D1F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xdr:row>
      <xdr:rowOff>0</xdr:rowOff>
    </xdr:from>
    <xdr:to>
      <xdr:col>8</xdr:col>
      <xdr:colOff>464344</xdr:colOff>
      <xdr:row>1</xdr:row>
      <xdr:rowOff>255984</xdr:rowOff>
    </xdr:to>
    <xdr:sp macro="" textlink="">
      <xdr:nvSpPr>
        <xdr:cNvPr id="9" name="Ellipse 8">
          <a:extLst>
            <a:ext uri="{FF2B5EF4-FFF2-40B4-BE49-F238E27FC236}">
              <a16:creationId xmlns:a16="http://schemas.microsoft.com/office/drawing/2014/main" id="{0B57A578-524E-485D-BB58-03B5E2ABBDF3}"/>
            </a:ext>
          </a:extLst>
        </xdr:cNvPr>
        <xdr:cNvSpPr/>
      </xdr:nvSpPr>
      <xdr:spPr>
        <a:xfrm>
          <a:off x="9020175" y="200025"/>
          <a:ext cx="0" cy="255984"/>
        </a:xfrm>
        <a:prstGeom prst="ellipse">
          <a:avLst/>
        </a:prstGeom>
        <a:solidFill>
          <a:schemeClr val="accent6">
            <a:lumMod val="20000"/>
            <a:lumOff val="80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5</xdr:col>
      <xdr:colOff>2646</xdr:colOff>
      <xdr:row>10</xdr:row>
      <xdr:rowOff>47625</xdr:rowOff>
    </xdr:from>
    <xdr:to>
      <xdr:col>5</xdr:col>
      <xdr:colOff>2646</xdr:colOff>
      <xdr:row>27</xdr:row>
      <xdr:rowOff>382587</xdr:rowOff>
    </xdr:to>
    <xdr:cxnSp macro="">
      <xdr:nvCxnSpPr>
        <xdr:cNvPr id="13" name="Lige forbindelse 12">
          <a:extLst>
            <a:ext uri="{FF2B5EF4-FFF2-40B4-BE49-F238E27FC236}">
              <a16:creationId xmlns:a16="http://schemas.microsoft.com/office/drawing/2014/main" id="{C333ECD9-F071-4C8A-B3D9-458F258BED2A}"/>
            </a:ext>
          </a:extLst>
        </xdr:cNvPr>
        <xdr:cNvCxnSpPr/>
      </xdr:nvCxnSpPr>
      <xdr:spPr>
        <a:xfrm>
          <a:off x="7801387" y="2126662"/>
          <a:ext cx="0" cy="4022666"/>
        </a:xfrm>
        <a:prstGeom prst="line">
          <a:avLst/>
        </a:prstGeom>
        <a:ln w="38100">
          <a:prstDash val="sysDash"/>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470370</xdr:colOff>
      <xdr:row>24</xdr:row>
      <xdr:rowOff>13367</xdr:rowOff>
    </xdr:from>
    <xdr:to>
      <xdr:col>1</xdr:col>
      <xdr:colOff>1260945</xdr:colOff>
      <xdr:row>28</xdr:row>
      <xdr:rowOff>106947</xdr:rowOff>
    </xdr:to>
    <xdr:sp macro="" textlink="">
      <xdr:nvSpPr>
        <xdr:cNvPr id="14" name="Billedforklaring: nedadgående pil 1">
          <a:extLst>
            <a:ext uri="{FF2B5EF4-FFF2-40B4-BE49-F238E27FC236}">
              <a16:creationId xmlns:a16="http://schemas.microsoft.com/office/drawing/2014/main" id="{BE82C941-827A-FF46-9D6B-CCF64BA1F36A}"/>
            </a:ext>
          </a:extLst>
        </xdr:cNvPr>
        <xdr:cNvSpPr/>
      </xdr:nvSpPr>
      <xdr:spPr>
        <a:xfrm>
          <a:off x="1165528" y="5133472"/>
          <a:ext cx="790575" cy="1082843"/>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xdr:txBody>
    </xdr:sp>
    <xdr:clientData/>
  </xdr:twoCellAnchor>
  <xdr:twoCellAnchor>
    <xdr:from>
      <xdr:col>2</xdr:col>
      <xdr:colOff>415145</xdr:colOff>
      <xdr:row>27</xdr:row>
      <xdr:rowOff>0</xdr:rowOff>
    </xdr:from>
    <xdr:to>
      <xdr:col>2</xdr:col>
      <xdr:colOff>1205720</xdr:colOff>
      <xdr:row>28</xdr:row>
      <xdr:rowOff>23804</xdr:rowOff>
    </xdr:to>
    <xdr:sp macro="" textlink="">
      <xdr:nvSpPr>
        <xdr:cNvPr id="15" name="Billedforklaring: nedadgående pil 10">
          <a:extLst>
            <a:ext uri="{FF2B5EF4-FFF2-40B4-BE49-F238E27FC236}">
              <a16:creationId xmlns:a16="http://schemas.microsoft.com/office/drawing/2014/main" id="{08F761A3-74B8-BC42-9608-CA9E996B197A}"/>
            </a:ext>
          </a:extLst>
        </xdr:cNvPr>
        <xdr:cNvSpPr/>
      </xdr:nvSpPr>
      <xdr:spPr>
        <a:xfrm>
          <a:off x="2888303" y="5721684"/>
          <a:ext cx="790575" cy="41148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4</xdr:col>
      <xdr:colOff>322788</xdr:colOff>
      <xdr:row>27</xdr:row>
      <xdr:rowOff>0</xdr:rowOff>
    </xdr:from>
    <xdr:to>
      <xdr:col>4</xdr:col>
      <xdr:colOff>1113363</xdr:colOff>
      <xdr:row>28</xdr:row>
      <xdr:rowOff>23804</xdr:rowOff>
    </xdr:to>
    <xdr:sp macro="" textlink="">
      <xdr:nvSpPr>
        <xdr:cNvPr id="16" name="Billedforklaring: nedadgående pil 11">
          <a:extLst>
            <a:ext uri="{FF2B5EF4-FFF2-40B4-BE49-F238E27FC236}">
              <a16:creationId xmlns:a16="http://schemas.microsoft.com/office/drawing/2014/main" id="{22BFD5F7-2079-B142-BA7D-58729BF3CB0D}"/>
            </a:ext>
          </a:extLst>
        </xdr:cNvPr>
        <xdr:cNvSpPr/>
      </xdr:nvSpPr>
      <xdr:spPr>
        <a:xfrm>
          <a:off x="6390566" y="5682074"/>
          <a:ext cx="790575" cy="40950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5</xdr:col>
      <xdr:colOff>592368</xdr:colOff>
      <xdr:row>27</xdr:row>
      <xdr:rowOff>0</xdr:rowOff>
    </xdr:from>
    <xdr:to>
      <xdr:col>5</xdr:col>
      <xdr:colOff>1382943</xdr:colOff>
      <xdr:row>28</xdr:row>
      <xdr:rowOff>23804</xdr:rowOff>
    </xdr:to>
    <xdr:sp macro="" textlink="">
      <xdr:nvSpPr>
        <xdr:cNvPr id="17" name="Billedforklaring: nedadgående pil 12">
          <a:extLst>
            <a:ext uri="{FF2B5EF4-FFF2-40B4-BE49-F238E27FC236}">
              <a16:creationId xmlns:a16="http://schemas.microsoft.com/office/drawing/2014/main" id="{C8A62108-B59C-4046-B7F1-C011C7880D6A}"/>
            </a:ext>
          </a:extLst>
        </xdr:cNvPr>
        <xdr:cNvSpPr/>
      </xdr:nvSpPr>
      <xdr:spPr>
        <a:xfrm>
          <a:off x="8221775" y="5682074"/>
          <a:ext cx="790575" cy="40950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6</xdr:col>
      <xdr:colOff>474479</xdr:colOff>
      <xdr:row>27</xdr:row>
      <xdr:rowOff>0</xdr:rowOff>
    </xdr:from>
    <xdr:to>
      <xdr:col>6</xdr:col>
      <xdr:colOff>1265054</xdr:colOff>
      <xdr:row>28</xdr:row>
      <xdr:rowOff>23804</xdr:rowOff>
    </xdr:to>
    <xdr:sp macro="" textlink="">
      <xdr:nvSpPr>
        <xdr:cNvPr id="18" name="Billedforklaring: nedadgående pil 19">
          <a:extLst>
            <a:ext uri="{FF2B5EF4-FFF2-40B4-BE49-F238E27FC236}">
              <a16:creationId xmlns:a16="http://schemas.microsoft.com/office/drawing/2014/main" id="{00224AF6-14F0-014A-AD3A-4FF8A19677EC}"/>
            </a:ext>
          </a:extLst>
        </xdr:cNvPr>
        <xdr:cNvSpPr/>
      </xdr:nvSpPr>
      <xdr:spPr>
        <a:xfrm>
          <a:off x="10145294" y="5682074"/>
          <a:ext cx="790575" cy="40950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twoCellAnchor>
    <xdr:from>
      <xdr:col>5</xdr:col>
      <xdr:colOff>73872</xdr:colOff>
      <xdr:row>9</xdr:row>
      <xdr:rowOff>13369</xdr:rowOff>
    </xdr:from>
    <xdr:to>
      <xdr:col>6</xdr:col>
      <xdr:colOff>555410</xdr:colOff>
      <xdr:row>11</xdr:row>
      <xdr:rowOff>151877</xdr:rowOff>
    </xdr:to>
    <xdr:sp macro="" textlink="">
      <xdr:nvSpPr>
        <xdr:cNvPr id="4" name="TextBox 3">
          <a:extLst>
            <a:ext uri="{FF2B5EF4-FFF2-40B4-BE49-F238E27FC236}">
              <a16:creationId xmlns:a16="http://schemas.microsoft.com/office/drawing/2014/main" id="{AF8A4A32-55FE-1349-9230-8FB4A9ACB2BB}"/>
            </a:ext>
          </a:extLst>
        </xdr:cNvPr>
        <xdr:cNvSpPr txBox="1"/>
      </xdr:nvSpPr>
      <xdr:spPr>
        <a:xfrm>
          <a:off x="7867661" y="2058737"/>
          <a:ext cx="2526907" cy="405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solidFill>
                <a:schemeClr val="accent4"/>
              </a:solidFill>
            </a:rPr>
            <a:t>NEW</a:t>
          </a:r>
        </a:p>
      </xdr:txBody>
    </xdr:sp>
    <xdr:clientData/>
  </xdr:twoCellAnchor>
  <xdr:twoCellAnchor>
    <xdr:from>
      <xdr:col>2</xdr:col>
      <xdr:colOff>1283369</xdr:colOff>
      <xdr:row>9</xdr:row>
      <xdr:rowOff>13369</xdr:rowOff>
    </xdr:from>
    <xdr:to>
      <xdr:col>4</xdr:col>
      <xdr:colOff>1641283</xdr:colOff>
      <xdr:row>11</xdr:row>
      <xdr:rowOff>151877</xdr:rowOff>
    </xdr:to>
    <xdr:sp macro="" textlink="">
      <xdr:nvSpPr>
        <xdr:cNvPr id="5" name="TextBox 4">
          <a:extLst>
            <a:ext uri="{FF2B5EF4-FFF2-40B4-BE49-F238E27FC236}">
              <a16:creationId xmlns:a16="http://schemas.microsoft.com/office/drawing/2014/main" id="{1ED8B940-3793-9640-AB7A-68ED2DA2BDB4}"/>
            </a:ext>
          </a:extLst>
        </xdr:cNvPr>
        <xdr:cNvSpPr txBox="1"/>
      </xdr:nvSpPr>
      <xdr:spPr>
        <a:xfrm>
          <a:off x="3756527" y="2058737"/>
          <a:ext cx="3954019" cy="405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GB" sz="1800" b="1">
              <a:solidFill>
                <a:schemeClr val="accent6"/>
              </a:solidFill>
            </a:rPr>
            <a:t>REUSED / RECYCLED</a:t>
          </a:r>
        </a:p>
      </xdr:txBody>
    </xdr:sp>
    <xdr:clientData/>
  </xdr:twoCellAnchor>
  <xdr:twoCellAnchor>
    <xdr:from>
      <xdr:col>16</xdr:col>
      <xdr:colOff>1</xdr:colOff>
      <xdr:row>30</xdr:row>
      <xdr:rowOff>200532</xdr:rowOff>
    </xdr:from>
    <xdr:to>
      <xdr:col>23</xdr:col>
      <xdr:colOff>133684</xdr:colOff>
      <xdr:row>49</xdr:row>
      <xdr:rowOff>101600</xdr:rowOff>
    </xdr:to>
    <xdr:sp macro="" textlink="">
      <xdr:nvSpPr>
        <xdr:cNvPr id="7" name="Tekstfelt 3">
          <a:extLst>
            <a:ext uri="{FF2B5EF4-FFF2-40B4-BE49-F238E27FC236}">
              <a16:creationId xmlns:a16="http://schemas.microsoft.com/office/drawing/2014/main" id="{7F11C024-C09A-584B-9533-C20021E2266C}"/>
            </a:ext>
          </a:extLst>
        </xdr:cNvPr>
        <xdr:cNvSpPr txBox="1"/>
      </xdr:nvSpPr>
      <xdr:spPr>
        <a:xfrm>
          <a:off x="12039601" y="6639432"/>
          <a:ext cx="5023183" cy="3761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0" i="1">
              <a:solidFill>
                <a:srgbClr val="FF0000"/>
              </a:solidFill>
            </a:rPr>
            <a:t>Step 1: In column B, fill in element of props or furniture (ignore small items)</a:t>
          </a:r>
          <a:endParaRPr lang="en-GB" sz="1400" b="0" i="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2: Estimate its weight, using the tables below</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rgbClr val="FF0000"/>
              </a:solidFill>
            </a:rPr>
            <a:t>Step 3: Fill in the weight under one of the 5 columns</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GREEN </a:t>
          </a:r>
          <a:r>
            <a:rPr lang="en-GB" sz="1400" b="1" i="1" baseline="0">
              <a:solidFill>
                <a:schemeClr val="tx1"/>
              </a:solidFill>
            </a:rPr>
            <a:t>is</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0" i="1" baseline="0">
              <a:solidFill>
                <a:schemeClr val="tx1"/>
              </a:solidFill>
            </a:rPr>
            <a:t>GOLD or RED is </a:t>
          </a:r>
          <a:r>
            <a:rPr lang="en-GB" sz="1400" b="1" i="1" baseline="0">
              <a:solidFill>
                <a:schemeClr val="tx1"/>
              </a:solidFill>
            </a:rPr>
            <a:t>not</a:t>
          </a:r>
          <a:r>
            <a:rPr lang="en-GB" sz="1400" b="0" i="1" baseline="0">
              <a:solidFill>
                <a:schemeClr val="tx1"/>
              </a:solidFill>
            </a:rPr>
            <a:t> reused or recycled</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1"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Basic</a:t>
          </a:r>
          <a:r>
            <a:rPr lang="en-GB" sz="1400" b="0" i="1" baseline="0">
              <a:solidFill>
                <a:schemeClr val="tx1"/>
              </a:solidFill>
            </a:rPr>
            <a:t> = 50% Reused / recycled (green)</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Intermediate</a:t>
          </a:r>
          <a:r>
            <a:rPr lang="en-GB" sz="1400" b="0" i="1" baseline="0">
              <a:solidFill>
                <a:schemeClr val="tx1"/>
              </a:solidFill>
            </a:rPr>
            <a:t> = 60% reused / recycled</a:t>
          </a:r>
        </a:p>
        <a:p>
          <a:pPr marL="0" marR="0" lvl="0" indent="0" defTabSz="914400" eaLnBrk="1" fontAlgn="auto" latinLnBrk="0" hangingPunct="1">
            <a:lnSpc>
              <a:spcPct val="100000"/>
            </a:lnSpc>
            <a:spcBef>
              <a:spcPts val="0"/>
            </a:spcBef>
            <a:spcAft>
              <a:spcPts val="0"/>
            </a:spcAft>
            <a:buClrTx/>
            <a:buSzTx/>
            <a:buFontTx/>
            <a:buNone/>
            <a:tabLst/>
            <a:defRPr/>
          </a:pPr>
          <a:r>
            <a:rPr lang="en-GB" sz="1400" b="1" i="1" baseline="0">
              <a:solidFill>
                <a:schemeClr val="tx1"/>
              </a:solidFill>
            </a:rPr>
            <a:t>Advanced</a:t>
          </a:r>
          <a:r>
            <a:rPr lang="en-GB" sz="1400" b="0" i="1" baseline="0">
              <a:solidFill>
                <a:schemeClr val="tx1"/>
              </a:solidFill>
            </a:rPr>
            <a:t> = 75% reused / recycled </a:t>
          </a:r>
          <a:endParaRPr lang="da-DK" sz="1400" b="0" i="1">
            <a:solidFill>
              <a:schemeClr val="tx1"/>
            </a:solidFill>
          </a:endParaRPr>
        </a:p>
      </xdr:txBody>
    </xdr:sp>
    <xdr:clientData/>
  </xdr:twoCellAnchor>
  <xdr:twoCellAnchor>
    <xdr:from>
      <xdr:col>3</xdr:col>
      <xdr:colOff>588209</xdr:colOff>
      <xdr:row>27</xdr:row>
      <xdr:rowOff>0</xdr:rowOff>
    </xdr:from>
    <xdr:to>
      <xdr:col>3</xdr:col>
      <xdr:colOff>1378784</xdr:colOff>
      <xdr:row>28</xdr:row>
      <xdr:rowOff>23804</xdr:rowOff>
    </xdr:to>
    <xdr:sp macro="" textlink="">
      <xdr:nvSpPr>
        <xdr:cNvPr id="8" name="Billedforklaring: nedadgående pil 10">
          <a:extLst>
            <a:ext uri="{FF2B5EF4-FFF2-40B4-BE49-F238E27FC236}">
              <a16:creationId xmlns:a16="http://schemas.microsoft.com/office/drawing/2014/main" id="{0987DF76-61EE-5997-5B9F-F4F07912B97E}"/>
            </a:ext>
          </a:extLst>
        </xdr:cNvPr>
        <xdr:cNvSpPr/>
      </xdr:nvSpPr>
      <xdr:spPr>
        <a:xfrm>
          <a:off x="4625472" y="5721684"/>
          <a:ext cx="790575" cy="411488"/>
        </a:xfrm>
        <a:prstGeom prst="downArrowCallout">
          <a:avLst>
            <a:gd name="adj1" fmla="val 25000"/>
            <a:gd name="adj2" fmla="val 25000"/>
            <a:gd name="adj3" fmla="val 25000"/>
            <a:gd name="adj4" fmla="val 62553"/>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da-DK" sz="1100" i="1">
              <a:solidFill>
                <a:srgbClr val="FF0000"/>
              </a:solidFill>
            </a:rPr>
            <a:t>fill in (kg)</a:t>
          </a:r>
        </a:p>
        <a:p>
          <a:pPr algn="ctr"/>
          <a:endParaRPr lang="da-DK"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ddy\Library\Mobile%20Documents\com~apple~CloudDocs\ARCHITECTURE\GREEN%20BOOK\2024%20GREEN%20BOOK\SUPPORT%20TOOLS\PRODUCTION%20CALCULATOR\231113_production%20calculat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reativecarbonscotland.sharepoint.com/mitigation/Shared%20Documents/Theatre%20Green%20Book/240207_production%20calculator%20with%20EF.xlsx" TargetMode="External"/><Relationship Id="rId1" Type="http://schemas.openxmlformats.org/officeDocument/2006/relationships/externalLinkPath" Target="https://creativecarbonscotland.sharepoint.com/mitigation/Shared%20Documents/Theatre%20Green%20Book/240207_production%20calculator%20with%20EF.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europeantheatreconvention.sharepoint.com/Users/paddy/Library/Mobile%20Documents/com~apple~CloudDocs/RENEW%20CULTURE/TGB%20EDITIONS/2024%20GREEN%20BOOK/SUPPORT%20TOOLS/240524_TGB%20Operations%20Tracker.xlsx" TargetMode="External"/><Relationship Id="rId2" Type="http://schemas.microsoft.com/office/2019/04/relationships/externalLinkLongPath" Target="https://outlook.office.com/owa/wopi/files/642cc5b7-6f9f-4b0c-8539-52275316e18c@europeantheatre.eu/AAMkADY0MmNjNWI3LTZmOWYtNGIwYy04NTM5LTUyMjc1MzE2ZTE4YwBGAAAAAAAtpdaw8vcHR5Vg3X-PfQLGBwCABSn190zSSpT9WGv9Mm9nAAAAAAEMAACABSn190zSSpT9WGv9Mm9nAAYSyXVkAAABEgAQADSB-lZN1lJBmu0WCZn1Kd4=_7qmZvknZ3AgBAQAAAAA=/WOPIServiceId_FP_EXCHANGE_ORGID/WOPIUserId_f0537135-a1d9-4d02-bd59-a55a49cad10c/240524_TGB%20Operations%20Tracker.xlsx?32811338" TargetMode="External"/><Relationship Id="rId1" Type="http://schemas.openxmlformats.org/officeDocument/2006/relationships/externalLinkPath" Target="file:///\\32811338\240524_TGB%20Operations%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BASELINE"/>
      <sheetName val="INTERMEDIATE"/>
      <sheetName val="ADVANCED"/>
      <sheetName val="Scenery"/>
      <sheetName val="Costume"/>
      <sheetName val="Props &amp; furniture"/>
      <sheetName val="Travel"/>
      <sheetName val="REPORT"/>
      <sheetName val="Scenery EST"/>
      <sheetName val="Costume EST"/>
      <sheetName val="Props &amp; furniture EST"/>
      <sheetName val="Emission factors and lists"/>
    </sheetNames>
    <sheetDataSet>
      <sheetData sheetId="0">
        <row r="7">
          <cell r="C7"/>
        </row>
        <row r="8">
          <cell r="C8"/>
        </row>
        <row r="9">
          <cell r="C9"/>
        </row>
        <row r="11">
          <cell r="C11"/>
        </row>
        <row r="12">
          <cell r="C12"/>
        </row>
        <row r="13">
          <cell r="C13"/>
        </row>
        <row r="14">
          <cell r="C14"/>
        </row>
        <row r="15">
          <cell r="C15"/>
        </row>
        <row r="16">
          <cell r="C16"/>
        </row>
        <row r="17">
          <cell r="C17"/>
        </row>
        <row r="18">
          <cell r="C18"/>
        </row>
        <row r="20">
          <cell r="C20"/>
        </row>
        <row r="22">
          <cell r="C22"/>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TART HERE"/>
      <sheetName val="BASIC"/>
      <sheetName val="INTERMEDIATE"/>
      <sheetName val="ADVANCED"/>
      <sheetName val="1) Organisation"/>
      <sheetName val="2) Paper &amp; Digital"/>
      <sheetName val="3) Food, Drink, Retail"/>
      <sheetName val="4) Building Management"/>
      <sheetName val="Building energy calculator"/>
      <sheetName val="5) Waste"/>
      <sheetName val="6) Travel"/>
      <sheetName val="Travel calculator"/>
      <sheetName val="7) Contracts"/>
      <sheetName val="Emission factors and lis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F1BF21-63BE-49AA-8D8B-F465EBADB156}" name="Tabel8" displayName="Tabel8" ref="B28:O48" headerRowCount="0" totalsRowShown="0" headerRowDxfId="186" dataDxfId="185">
  <tableColumns count="14">
    <tableColumn id="1" xr3:uid="{4D943314-1A84-4A06-90E0-02DE7CE797B9}" name="Kolonne1" headerRowDxfId="184" dataDxfId="183"/>
    <tableColumn id="2" xr3:uid="{94F3F50C-C6DD-48D0-A95E-0F5E18ECEAD6}" name="Kolonne2" headerRowDxfId="182" dataDxfId="181"/>
    <tableColumn id="3" xr3:uid="{977136CD-8956-45F0-A45B-454AA9F63683}" name="Kolonne3" headerRowDxfId="180" dataDxfId="179"/>
    <tableColumn id="4" xr3:uid="{E3DB8CF5-19D5-4EC0-8A58-9D0A867B6A60}" name="Kolonne4" headerRowDxfId="178" dataDxfId="177"/>
    <tableColumn id="5" xr3:uid="{BE59CD9C-20EE-47F0-8CA0-28249882D4FA}" name="Kolonne5" headerRowDxfId="176" dataDxfId="175"/>
    <tableColumn id="16" xr3:uid="{0B144801-72BF-480A-9CC8-E3BDC80C9AFA}" name="Kolonne14" headerRowDxfId="174" dataDxfId="173"/>
    <tableColumn id="6" xr3:uid="{D0852132-66F0-4420-9016-73B984474389}" name="Kolonne6" headerRowDxfId="172" dataDxfId="171"/>
    <tableColumn id="7" xr3:uid="{E7685950-D220-475C-A02B-A52A41BA3390}" name="Kolonne7" headerRowDxfId="170" dataDxfId="169"/>
    <tableColumn id="8" xr3:uid="{258C7F49-C2AE-42FB-A856-CB95FB10662B}" name="Kolonne8" headerRowDxfId="168" dataDxfId="167"/>
    <tableColumn id="9" xr3:uid="{101562FF-A213-4A54-BE09-EA7B06805537}" name="Kolonne9" headerRowDxfId="166" dataDxfId="165"/>
    <tableColumn id="10" xr3:uid="{579180A5-A735-4A9A-9F7A-2353309ECCF8}" name="Kolonne10" headerRowDxfId="164" dataDxfId="163"/>
    <tableColumn id="11" xr3:uid="{AA1D49D3-78D9-4E63-8F85-B4CA08338B3A}" name="Kolonne11" headerRowDxfId="162" dataDxfId="161"/>
    <tableColumn id="12" xr3:uid="{40E98EB0-017D-4636-9A88-27C6B54204D4}" name="Kolonne12" headerRowDxfId="160" dataDxfId="159"/>
    <tableColumn id="13" xr3:uid="{1F5CDA84-9F12-473F-9DF8-CD6C761D1FF9}" name="Kolonne13" headerRowDxfId="158" dataDxfId="157"/>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10C5367-A6E6-48CC-A2AD-963A3765606A}" name="Table312" displayName="Table312" ref="Z1:AH1113" totalsRowShown="0">
  <autoFilter ref="Z1:AH1113" xr:uid="{EC0FA2B0-0E05-4464-B16D-08B34F198F17}"/>
  <tableColumns count="9">
    <tableColumn id="1" xr3:uid="{9527B849-8326-4366-BE61-3E37FB2B3457}" name="Country"/>
    <tableColumn id="2" xr3:uid="{74B1CEB7-CF0D-46D7-8EEF-F020B1680C6D}" name="Category"/>
    <tableColumn id="3" xr3:uid="{DC0932AE-95C4-4B0A-BF17-60A1DE766E7A}" name="Emission source"/>
    <tableColumn id="4" xr3:uid="{9858B5A1-F4E8-4829-84C7-B0B7ECB62AE8}" name="Concat">
      <calculatedColumnFormula>Z2&amp;AB2</calculatedColumnFormula>
    </tableColumn>
    <tableColumn id="5" xr3:uid="{49DF1A86-64D8-4264-8561-44C6C8FD1DB4}" name="Year"/>
    <tableColumn id="6" xr3:uid="{CD883917-48D5-4497-B90A-8FD520DBF56B}" name="Factor"/>
    <tableColumn id="7" xr3:uid="{20B34B2D-B96E-4812-9E19-42FB8B2FA216}" name="unit"/>
    <tableColumn id="8" xr3:uid="{F92E4F53-EFE4-4584-BD8D-14809634D0A4}" name="Source"/>
    <tableColumn id="9" xr3:uid="{44F45170-DB34-4CA7-9F6E-11D9B47F9631}" name="Note"/>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6210A16-CF82-43F0-9656-968833BFA814}" name="Table6" displayName="Table6" ref="T1:W28" totalsRowShown="0" headerRowCellStyle="Normal 5" dataCellStyle="Normal 5">
  <autoFilter ref="T1:W28" xr:uid="{C68493D3-F578-4BE8-8661-D15139F9054B}"/>
  <tableColumns count="4">
    <tableColumn id="1" xr3:uid="{6AE11448-6ED5-4D66-AF02-D751E552DF9C}" name="Category" dataCellStyle="Normal 5"/>
    <tableColumn id="2" xr3:uid="{142050C5-31B0-4DFF-ADBB-257DBC21080C}" name="Specific" dataCellStyle="Normal 5"/>
    <tableColumn id="3" xr3:uid="{A017E1F4-3CE5-4B40-BAF5-769C218FC799}" name="Emission source" dataCellStyle="Normal 5"/>
    <tableColumn id="4" xr3:uid="{D5F8037B-9BE2-408F-8477-EF04FF75EBAD}" name="Category 2" dataDxfId="88" dataCellStyle="Normal 5"/>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675FD7B-D698-4025-886F-3437A7F1249E}" name="Table12" displayName="Table12" ref="AY1:BC2" totalsRowShown="0" headerRowCellStyle="Normal 5" dataCellStyle="Normal 5">
  <autoFilter ref="AY1:BC2" xr:uid="{7675FD7B-D698-4025-886F-3437A7F1249E}"/>
  <tableColumns count="5">
    <tableColumn id="1" xr3:uid="{CBC7854D-F39C-4D43-8016-865D7365F0E8}" name="Category" dataCellStyle="Normal 5"/>
    <tableColumn id="2" xr3:uid="{08B14CA4-82E5-40D1-BC81-676AAE1B9120}" name="value" dataCellStyle="Normal 5"/>
    <tableColumn id="3" xr3:uid="{74B25391-F3D9-4778-B239-EDBFBB7D19D1}" name="year" dataCellStyle="Normal 5"/>
    <tableColumn id="4" xr3:uid="{075D51D7-32BE-4E54-AF3D-B5EE5743C551}" name="unit" dataCellStyle="Normal 5"/>
    <tableColumn id="5" xr3:uid="{35C57046-052B-45D3-8B39-E0F9FCACE810}" name="source" dataCellStyle="Normal 5"/>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4B7E97-0127-4521-9A7D-FE6D259343EA}" name="Tabel82" displayName="Tabel82" ref="E28:R47" headerRowCount="0" totalsRowShown="0" headerRowDxfId="156" dataDxfId="155">
  <tableColumns count="14">
    <tableColumn id="1" xr3:uid="{30A9EEE2-5193-4B86-8087-83550CAC1269}" name="Kolonne1" headerRowDxfId="154" dataDxfId="153"/>
    <tableColumn id="2" xr3:uid="{E75C4F32-23C2-41D8-9287-B7A998843653}" name="Kolonne2" headerRowDxfId="152" dataDxfId="151">
      <calculatedColumnFormula>IF(Tabel82[[#This Row],[Kolonne1]]&gt;0,E28*D28,"")</calculatedColumnFormula>
    </tableColumn>
    <tableColumn id="3" xr3:uid="{3ED12353-96EE-40AC-97CA-DA467A1584B8}" name="Kolonne3" headerRowDxfId="150" dataDxfId="149"/>
    <tableColumn id="4" xr3:uid="{71834AE5-DA09-4450-8632-2F4DE314CE51}" name="Kolonne4" headerRowDxfId="148" dataDxfId="147"/>
    <tableColumn id="5" xr3:uid="{3E0FF789-D8B9-476A-8593-C81BFBBA402E}" name="Kolonne5" headerRowDxfId="146" dataDxfId="145"/>
    <tableColumn id="16" xr3:uid="{77D433CA-2148-4D2E-92D5-1E6F7B8F7A17}" name="Kolonne14" headerRowDxfId="144" dataDxfId="143"/>
    <tableColumn id="6" xr3:uid="{1F1577F3-DFCF-4651-A646-5616A80A6EEA}" name="Kolonne6" headerRowDxfId="142" dataDxfId="141"/>
    <tableColumn id="7" xr3:uid="{19ED2D57-6D08-48A2-8FFB-56E5566323E9}" name="Kolonne7" headerRowDxfId="140" dataDxfId="139"/>
    <tableColumn id="8" xr3:uid="{D3162BAB-45B9-456C-A3D0-D79610F23A90}" name="Kolonne8" headerRowDxfId="138" dataDxfId="137"/>
    <tableColumn id="9" xr3:uid="{B0FBA0AB-016A-46B6-A068-A0715C5C7107}" name="Kolonne9" headerRowDxfId="136" dataDxfId="135"/>
    <tableColumn id="10" xr3:uid="{E6BFCAF1-2B00-403C-BDF8-0889CBFED240}" name="Kolonne10" headerRowDxfId="134" dataDxfId="133"/>
    <tableColumn id="11" xr3:uid="{C83F2368-A5EE-4AA3-9ABD-7DAB1C84FE1C}" name="Kolonne11" headerRowDxfId="132" dataDxfId="131"/>
    <tableColumn id="12" xr3:uid="{15AB5623-A23A-41A3-BC96-D09388B30D27}" name="Kolonne12" headerRowDxfId="130" dataDxfId="129"/>
    <tableColumn id="13" xr3:uid="{73D51A66-E859-4211-95D0-F0AD7CB00BCA}" name="Kolonne13" headerRowDxfId="128" dataDxfId="12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22DC67-B638-4759-A86C-56704115FFAE}" name="Tabel83" displayName="Tabel83" ref="B29:O49" headerRowCount="0" totalsRowShown="0" headerRowDxfId="126" dataDxfId="125">
  <tableColumns count="14">
    <tableColumn id="1" xr3:uid="{02257705-66F8-4ED5-B74A-B471D294B555}" name="Kolonne1" headerRowDxfId="124" dataDxfId="123"/>
    <tableColumn id="2" xr3:uid="{0EC1071B-3FDD-45EA-A657-34B877789554}" name="Kolonne2" headerRowDxfId="122" dataDxfId="121"/>
    <tableColumn id="3" xr3:uid="{AFB09AE2-F354-4CAF-977D-BDAF02F5BED8}" name="Kolonne3" headerRowDxfId="120" dataDxfId="119"/>
    <tableColumn id="4" xr3:uid="{463F5A67-1AF7-4876-836B-6F024B0453F4}" name="Kolonne4" headerRowDxfId="118" dataDxfId="117"/>
    <tableColumn id="5" xr3:uid="{77CF9690-03E4-4F44-8FA7-9E6C0124E631}" name="Kolonne5" headerRowDxfId="116" dataDxfId="115"/>
    <tableColumn id="16" xr3:uid="{4B30597A-29B4-4385-9592-A295F7B8BA37}" name="Kolonne14" headerRowDxfId="114" dataDxfId="113"/>
    <tableColumn id="6" xr3:uid="{7768E794-9040-4BAA-BF59-EC38C3BC5A56}" name="Kolonne6" headerRowDxfId="112" dataDxfId="111"/>
    <tableColumn id="7" xr3:uid="{E8E582B5-384E-49BA-81EB-FC06070D8E44}" name="Kolonne7" headerRowDxfId="110" dataDxfId="109"/>
    <tableColumn id="8" xr3:uid="{16BF89E4-CE6A-4887-A76C-293B30ABABD2}" name="Kolonne8" headerRowDxfId="108" dataDxfId="107"/>
    <tableColumn id="9" xr3:uid="{34695660-03D2-4281-A9B3-8A790365F5F8}" name="Kolonne9" headerRowDxfId="106" dataDxfId="105"/>
    <tableColumn id="10" xr3:uid="{03CC30AC-1A51-4493-8D18-A93FD564B116}" name="Kolonne10" headerRowDxfId="104" dataDxfId="103"/>
    <tableColumn id="11" xr3:uid="{E2CD20E7-582E-45B2-AFC9-784E844124D2}" name="Kolonne11" headerRowDxfId="102" dataDxfId="101"/>
    <tableColumn id="12" xr3:uid="{81FCE8C0-4F62-4885-A4F3-CF6B9CC03C72}" name="Kolonne12" headerRowDxfId="100" dataDxfId="99"/>
    <tableColumn id="13" xr3:uid="{BEC36072-1736-47A6-8398-B88C53660A62}" name="Kolonne13" headerRowDxfId="98" dataDxfId="9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666822-1E98-4A57-A3D8-84311DA8DBFF}" name="Table1" displayName="Table1" ref="A1:B44" totalsRowShown="0" dataCellStyle="Normal 5">
  <autoFilter ref="A1:B44" xr:uid="{839B03DE-8DDC-41B3-B542-1C8210BAC498}"/>
  <tableColumns count="2">
    <tableColumn id="1" xr3:uid="{98323D58-AC0A-4D3B-BB6B-1C9FCEE74C02}" name="Country" dataCellStyle="Normal 5"/>
    <tableColumn id="2" xr3:uid="{6AE916FD-1A09-4274-B8C9-8067FA8307EC}" name="Column1" dataCellStyle="Normal 5"/>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0B4775-3DC4-45C9-A870-71820BB76507}" name="Table2" displayName="Table2" ref="M1:O7" totalsRowShown="0">
  <autoFilter ref="M1:O7" xr:uid="{2444EB96-137F-4BCC-BD6E-A6EE95A63933}"/>
  <tableColumns count="3">
    <tableColumn id="1" xr3:uid="{80B366BA-D60C-47F0-A0E0-E41E48C621C2}" name="Fuel"/>
    <tableColumn id="2" xr3:uid="{4779C16D-32F9-41BB-9022-CA32126C9642}" name="Emission factor"/>
    <tableColumn id="3" xr3:uid="{AE41D4C6-654D-4889-8F95-34C9CD18EBFA}" name="Unit"/>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102F3C4-95F2-4289-820D-7FA4DECF75F0}" name="Table4" displayName="Table4" ref="AK1:AP9" totalsRowShown="0" dataCellStyle="Normal 5">
  <autoFilter ref="AK1:AP9" xr:uid="{75F74792-162B-4A9B-A2FF-99FA09623D82}"/>
  <tableColumns count="6">
    <tableColumn id="1" xr3:uid="{A82314C9-E1DB-42D4-A5A0-0E3C22BEDFD3}" name="Category" dataCellStyle="Normal 5"/>
    <tableColumn id="2" xr3:uid="{666A12BE-1E7D-4E01-B9A7-47D22AD0C938}" name="Sub-category" dataCellStyle="Normal 5"/>
    <tableColumn id="3" xr3:uid="{CA95E063-A3AE-4946-8354-3CEFE4070A31}" name="Year" dataCellStyle="Normal 5"/>
    <tableColumn id="4" xr3:uid="{687B812A-CF03-4B4E-BAD3-E615E0819F69}" name="Value" dataCellStyle="Normal 5"/>
    <tableColumn id="5" xr3:uid="{5571DAE4-A64A-474A-A919-050F3E941756}" name="Units" dataCellStyle="Normal 5"/>
    <tableColumn id="6" xr3:uid="{6C916F77-5F77-4AC9-AA70-DAEA6FA812BA}" name="Source" dataCellStyle="Normal 5"/>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50ECAD-7381-4DE9-8CB2-0DB7A418064D}" name="Table7" displayName="Table7" ref="D1:G22" totalsRowShown="0">
  <autoFilter ref="D1:G22" xr:uid="{23D2A008-5128-40C3-BC87-A71451EFC406}"/>
  <tableColumns count="4">
    <tableColumn id="1" xr3:uid="{318796BD-08B7-4B73-BC90-3DFFBC2234E0}" name="Material"/>
    <tableColumn id="2" xr3:uid="{672DC31E-13EF-482E-83FC-CECFB9B3DD81}" name="Emission factor"/>
    <tableColumn id="3" xr3:uid="{BE837CCE-5745-47BD-978B-701795D2F71D}" name="Unit"/>
    <tableColumn id="4" xr3:uid="{6545B8CB-2D77-40B5-8BAF-018979FB6AF5}" name="Source"/>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4AE81D6-7273-4D79-A5C1-4AC3B25EE5E7}" name="Table9" displayName="Table9" ref="I1:K3" totalsRowShown="0">
  <autoFilter ref="I1:K3" xr:uid="{07E453C2-AF0C-4DAE-B0F1-95B35D7695FE}"/>
  <tableColumns count="3">
    <tableColumn id="1" xr3:uid="{184B93D9-35AC-4E49-BC0A-610F2EC402F1}" name="Material"/>
    <tableColumn id="2" xr3:uid="{FC875BAD-8B7F-47C6-8662-292EBD082F31}" name="Emission factor"/>
    <tableColumn id="3" xr3:uid="{737700E4-E63B-429B-9127-78ECA03ED447}" name="Unit"/>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0BF33E4-3E79-44B0-879B-E028500215A6}" name="Table5" displayName="Table5" ref="AR1:AW9" totalsRowShown="0" headerRowDxfId="96" dataDxfId="95" tableBorderDxfId="94">
  <autoFilter ref="AR1:AW9" xr:uid="{6BBFE7E0-7584-468B-865D-35D3790B554D}"/>
  <tableColumns count="6">
    <tableColumn id="1" xr3:uid="{231F2DFD-3361-4305-956D-498FE703A9CC}" name="Category" dataDxfId="93"/>
    <tableColumn id="2" xr3:uid="{A74DAB20-2CCF-4C97-B366-FEC0747D45DB}" name="Sub-category" dataDxfId="92"/>
    <tableColumn id="3" xr3:uid="{4FED6656-7C9A-4594-91A1-ECE8D5559A8C}" name="Year" dataDxfId="91"/>
    <tableColumn id="4" xr3:uid="{AD2A6415-2E47-4351-9231-1228FC97E474}" name="Value"/>
    <tableColumn id="5" xr3:uid="{D92464B8-5477-416B-9797-D804619B8D31}" name="Units" dataDxfId="90"/>
    <tableColumn id="6" xr3:uid="{E90E0370-4EEF-46BB-B1B3-B8AED51F320A}" name="Source" dataDxfId="89"/>
  </tableColumns>
  <tableStyleInfo name="TableStyleLight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www.steeldeck.co.uk/wp-content/uploads/2023/05/STEELDECK_PRODUCTS.pdf" TargetMode="External"/><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omments" Target="../comments3.xml"/><Relationship Id="rId4"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5.xml"/><Relationship Id="rId13" Type="http://schemas.openxmlformats.org/officeDocument/2006/relationships/table" Target="../tables/table10.xml"/><Relationship Id="rId3" Type="http://schemas.openxmlformats.org/officeDocument/2006/relationships/hyperlink" Target="https://ig-tools.com/resources" TargetMode="External"/><Relationship Id="rId7" Type="http://schemas.openxmlformats.org/officeDocument/2006/relationships/table" Target="../tables/table4.xml"/><Relationship Id="rId12" Type="http://schemas.openxmlformats.org/officeDocument/2006/relationships/table" Target="../tables/table9.xml"/><Relationship Id="rId2" Type="http://schemas.openxmlformats.org/officeDocument/2006/relationships/hyperlink" Target="https://www.openco2.net/en/emission-factors/product/plywood-softwood/255" TargetMode="External"/><Relationship Id="rId1" Type="http://schemas.openxmlformats.org/officeDocument/2006/relationships/hyperlink" Target="https://www.wisaplywood.com/siteassets/documents/certificates/rts-epd-19-19_upm_plywood_wisa_birch__uncoated_signed.pdf" TargetMode="External"/><Relationship Id="rId6" Type="http://schemas.openxmlformats.org/officeDocument/2006/relationships/hyperlink" Target="https://www.co2emissiefactoren.nl/lijst-emissiefactoren/" TargetMode="External"/><Relationship Id="rId11" Type="http://schemas.openxmlformats.org/officeDocument/2006/relationships/table" Target="../tables/table8.xml"/><Relationship Id="rId5" Type="http://schemas.openxmlformats.org/officeDocument/2006/relationships/hyperlink" Target="http://www.co2emissiefactoren.be/" TargetMode="External"/><Relationship Id="rId15" Type="http://schemas.openxmlformats.org/officeDocument/2006/relationships/table" Target="../tables/table12.xml"/><Relationship Id="rId10" Type="http://schemas.openxmlformats.org/officeDocument/2006/relationships/table" Target="../tables/table7.xml"/><Relationship Id="rId4" Type="http://schemas.openxmlformats.org/officeDocument/2006/relationships/hyperlink" Target="https://www.co2emissiefactoren.nl/lijst-emissiefactoren/" TargetMode="External"/><Relationship Id="rId9" Type="http://schemas.openxmlformats.org/officeDocument/2006/relationships/table" Target="../tables/table6.xml"/><Relationship Id="rId14"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8" Type="http://schemas.openxmlformats.org/officeDocument/2006/relationships/hyperlink" Target="https://circularecology.com/embodied-carbon-footprint-database.html" TargetMode="External"/><Relationship Id="rId13" Type="http://schemas.openxmlformats.org/officeDocument/2006/relationships/hyperlink" Target="https://circularecology.com/embodied-carbon-footprint-database.html" TargetMode="External"/><Relationship Id="rId3" Type="http://schemas.openxmlformats.org/officeDocument/2006/relationships/hyperlink" Target="https://www.gov.uk/government/publications/greenhouse-gas-reporting-conversion-factors-2023" TargetMode="External"/><Relationship Id="rId7" Type="http://schemas.openxmlformats.org/officeDocument/2006/relationships/hyperlink" Target="https://circularecology.com/embodied-carbon-footprint-database.html" TargetMode="External"/><Relationship Id="rId12" Type="http://schemas.openxmlformats.org/officeDocument/2006/relationships/hyperlink" Target="https://circularecology.com/embodied-carbon-footprint-database.html" TargetMode="External"/><Relationship Id="rId17" Type="http://schemas.openxmlformats.org/officeDocument/2006/relationships/printerSettings" Target="../printerSettings/printerSettings1.bin"/><Relationship Id="rId2" Type="http://schemas.openxmlformats.org/officeDocument/2006/relationships/hyperlink" Target="https://www.gov.uk/government/publications/greenhouse-gas-reporting-conversion-factors-2023" TargetMode="External"/><Relationship Id="rId16" Type="http://schemas.openxmlformats.org/officeDocument/2006/relationships/hyperlink" Target="https://www.openco2.net/en/emission-factors/product/plywood-softwood/255" TargetMode="External"/><Relationship Id="rId1" Type="http://schemas.openxmlformats.org/officeDocument/2006/relationships/hyperlink" Target="https://www.steeldeck.co.uk/wp-content/uploads/2023/05/STEELDECK_PRODUCTS.pdf" TargetMode="External"/><Relationship Id="rId6" Type="http://schemas.openxmlformats.org/officeDocument/2006/relationships/hyperlink" Target="https://circularecology.com/embodied-carbon-footprint-database.html" TargetMode="External"/><Relationship Id="rId11" Type="http://schemas.openxmlformats.org/officeDocument/2006/relationships/hyperlink" Target="https://circularecology.com/embodied-carbon-footprint-database.html" TargetMode="External"/><Relationship Id="rId5" Type="http://schemas.openxmlformats.org/officeDocument/2006/relationships/hyperlink" Target="https://circularecology.com/embodied-carbon-footprint-database.html" TargetMode="External"/><Relationship Id="rId15" Type="http://schemas.openxmlformats.org/officeDocument/2006/relationships/hyperlink" Target="https://www.wisaplywood.com/siteassets/documents/certificates/rts-epd-19-19_upm_plywood_wisa_birch__uncoated_signed.pdf" TargetMode="External"/><Relationship Id="rId10" Type="http://schemas.openxmlformats.org/officeDocument/2006/relationships/hyperlink" Target="https://circularecology.com/embodied-carbon-footprint-database.html" TargetMode="External"/><Relationship Id="rId4" Type="http://schemas.openxmlformats.org/officeDocument/2006/relationships/hyperlink" Target="https://circularecology.com/embodied-carbon-footprint-database.html" TargetMode="External"/><Relationship Id="rId9" Type="http://schemas.openxmlformats.org/officeDocument/2006/relationships/hyperlink" Target="https://circularecology.com/embodied-carbon-footprint-database.html" TargetMode="External"/><Relationship Id="rId14" Type="http://schemas.openxmlformats.org/officeDocument/2006/relationships/hyperlink" Target="https://ig-tools.com/resources"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publications/greenhouse-gas-reporting-conversion-factors-202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mweltbundesamt.at/fileadmin/site/themen/mobilitaet/daten/ekz_pkm_tkm_verkehrsmittel.pdf" TargetMode="External"/><Relationship Id="rId7" Type="http://schemas.openxmlformats.org/officeDocument/2006/relationships/vmlDrawing" Target="../drawings/vmlDrawing1.vml"/><Relationship Id="rId2" Type="http://schemas.openxmlformats.org/officeDocument/2006/relationships/hyperlink" Target="https://base-empreinte.ademe.fr/" TargetMode="External"/><Relationship Id="rId1" Type="http://schemas.openxmlformats.org/officeDocument/2006/relationships/hyperlink" Target="https://www.gov.uk/government/publications/greenhouse-gas-reporting-conversion-factors-2023" TargetMode="External"/><Relationship Id="rId6" Type="http://schemas.openxmlformats.org/officeDocument/2006/relationships/drawing" Target="../drawings/drawing3.xml"/><Relationship Id="rId5" Type="http://schemas.openxmlformats.org/officeDocument/2006/relationships/hyperlink" Target="https://www.co2emissiefactoren.nl/lijst-emissiefactoren/" TargetMode="External"/><Relationship Id="rId4" Type="http://schemas.openxmlformats.org/officeDocument/2006/relationships/hyperlink" Target="http://www.co2emissiefactoren.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80250-1F2B-4FC7-BEBA-6D594744B116}">
  <sheetPr>
    <tabColor rgb="FFFF0000"/>
  </sheetPr>
  <dimension ref="B3:AA60"/>
  <sheetViews>
    <sheetView showGridLines="0" tabSelected="1" zoomScaleNormal="100" workbookViewId="0">
      <selection activeCell="B2" sqref="B2"/>
    </sheetView>
  </sheetViews>
  <sheetFormatPr defaultColWidth="8.81640625" defaultRowHeight="14.5"/>
  <cols>
    <col min="2" max="2" width="30.453125" customWidth="1"/>
    <col min="3" max="3" width="57.81640625" customWidth="1"/>
    <col min="4" max="4" width="10.81640625" customWidth="1"/>
    <col min="5" max="5" width="9.81640625" style="113" customWidth="1"/>
    <col min="6" max="18" width="9.81640625" customWidth="1"/>
    <col min="23" max="23" width="2.36328125" customWidth="1"/>
  </cols>
  <sheetData>
    <row r="3" spans="2:17" ht="46">
      <c r="B3" s="128" t="s">
        <v>176</v>
      </c>
      <c r="C3" s="127"/>
      <c r="D3" s="98"/>
    </row>
    <row r="4" spans="2:17" ht="31">
      <c r="B4" s="593" t="s">
        <v>657</v>
      </c>
      <c r="C4" s="594">
        <v>240524</v>
      </c>
      <c r="F4" s="112" t="s">
        <v>378</v>
      </c>
    </row>
    <row r="5" spans="2:17" ht="15" customHeight="1">
      <c r="B5" s="592" t="s">
        <v>217</v>
      </c>
      <c r="C5" s="592"/>
    </row>
    <row r="6" spans="2:17" ht="23.5">
      <c r="E6" s="115"/>
      <c r="F6" s="106" t="s">
        <v>419</v>
      </c>
      <c r="G6" s="367"/>
      <c r="H6" s="367"/>
      <c r="I6" s="367"/>
      <c r="J6" s="367"/>
      <c r="K6" s="99"/>
      <c r="L6" s="99"/>
      <c r="M6" s="99"/>
    </row>
    <row r="7" spans="2:17" s="99" customFormat="1" ht="21">
      <c r="B7" s="105" t="s">
        <v>175</v>
      </c>
      <c r="C7" s="250"/>
      <c r="E7" s="115"/>
      <c r="F7" s="114" t="s">
        <v>420</v>
      </c>
      <c r="G7" s="98"/>
      <c r="H7" s="98"/>
      <c r="I7" s="98"/>
      <c r="J7" s="98"/>
      <c r="K7" s="98"/>
      <c r="L7" s="98"/>
      <c r="M7" s="98"/>
      <c r="N7" s="98"/>
      <c r="O7" s="98"/>
      <c r="P7" s="98"/>
      <c r="Q7" s="98"/>
    </row>
    <row r="8" spans="2:17" s="99" customFormat="1" ht="21">
      <c r="B8" s="105" t="s">
        <v>197</v>
      </c>
      <c r="C8" s="251"/>
      <c r="E8" s="115"/>
      <c r="F8" s="770" t="s">
        <v>421</v>
      </c>
      <c r="G8" s="770"/>
      <c r="H8" s="770"/>
      <c r="I8" s="770"/>
      <c r="J8" s="770"/>
      <c r="K8" s="770"/>
      <c r="L8" s="770"/>
      <c r="M8" s="770"/>
      <c r="N8" s="770"/>
      <c r="O8" s="770"/>
      <c r="P8" s="770"/>
      <c r="Q8" s="770"/>
    </row>
    <row r="9" spans="2:17" s="99" customFormat="1" ht="21">
      <c r="B9" s="105" t="s">
        <v>198</v>
      </c>
      <c r="C9" s="252"/>
      <c r="E9" s="115"/>
      <c r="F9" s="770"/>
      <c r="G9" s="770"/>
      <c r="H9" s="770"/>
      <c r="I9" s="770"/>
      <c r="J9" s="770"/>
      <c r="K9" s="770"/>
      <c r="L9" s="770"/>
      <c r="M9" s="770"/>
      <c r="N9" s="770"/>
      <c r="O9" s="770"/>
      <c r="P9" s="770"/>
      <c r="Q9" s="770"/>
    </row>
    <row r="10" spans="2:17" s="120" customFormat="1" ht="21" customHeight="1">
      <c r="B10" s="121"/>
      <c r="C10" s="122"/>
      <c r="E10" s="115"/>
      <c r="F10" s="368"/>
      <c r="G10" s="368"/>
      <c r="H10" s="368"/>
      <c r="I10" s="368"/>
      <c r="J10" s="368"/>
      <c r="K10" s="368"/>
      <c r="L10" s="368"/>
      <c r="M10" s="368"/>
      <c r="N10" s="368"/>
      <c r="O10" s="368"/>
      <c r="P10" s="368"/>
      <c r="Q10" s="368"/>
    </row>
    <row r="11" spans="2:17" s="99" customFormat="1" ht="21">
      <c r="B11" s="105" t="s">
        <v>199</v>
      </c>
      <c r="C11" s="123"/>
      <c r="E11" s="115"/>
      <c r="F11" s="106" t="s">
        <v>389</v>
      </c>
      <c r="G11" s="368"/>
      <c r="H11" s="368"/>
      <c r="I11" s="368"/>
      <c r="J11" s="368"/>
      <c r="K11" s="368"/>
      <c r="L11" s="368"/>
      <c r="M11" s="368"/>
      <c r="N11" s="368"/>
      <c r="O11" s="368"/>
      <c r="P11" s="368"/>
      <c r="Q11" s="368"/>
    </row>
    <row r="12" spans="2:17" s="99" customFormat="1" ht="20" customHeight="1">
      <c r="B12" s="105" t="s">
        <v>200</v>
      </c>
      <c r="C12" s="123"/>
      <c r="E12" s="115"/>
      <c r="F12" s="770" t="s">
        <v>391</v>
      </c>
      <c r="G12" s="770"/>
      <c r="H12" s="770"/>
      <c r="I12" s="770"/>
      <c r="J12" s="770"/>
      <c r="K12" s="770"/>
      <c r="L12" s="770"/>
      <c r="M12" s="770"/>
      <c r="N12" s="770"/>
      <c r="O12" s="770"/>
      <c r="P12" s="770"/>
      <c r="Q12" s="770"/>
    </row>
    <row r="13" spans="2:17" s="99" customFormat="1" ht="21">
      <c r="B13" s="105" t="s">
        <v>739</v>
      </c>
      <c r="C13" s="123"/>
      <c r="E13" s="115"/>
      <c r="F13" s="770"/>
      <c r="G13" s="770"/>
      <c r="H13" s="770"/>
      <c r="I13" s="770"/>
      <c r="J13" s="770"/>
      <c r="K13" s="770"/>
      <c r="L13" s="770"/>
      <c r="M13" s="770"/>
      <c r="N13" s="770"/>
      <c r="O13" s="770"/>
      <c r="P13" s="770"/>
      <c r="Q13" s="770"/>
    </row>
    <row r="14" spans="2:17" s="99" customFormat="1" ht="21">
      <c r="B14" s="105" t="s">
        <v>207</v>
      </c>
      <c r="C14" s="123"/>
      <c r="E14" s="116"/>
      <c r="F14" s="98" t="s">
        <v>396</v>
      </c>
      <c r="N14" s="120"/>
      <c r="O14" s="120"/>
      <c r="P14" s="120"/>
      <c r="Q14" s="120"/>
    </row>
    <row r="15" spans="2:17" s="99" customFormat="1" ht="21">
      <c r="B15" s="105" t="s">
        <v>35</v>
      </c>
      <c r="C15" s="124"/>
      <c r="E15" s="115"/>
      <c r="F15" s="98" t="s">
        <v>379</v>
      </c>
    </row>
    <row r="16" spans="2:17" s="99" customFormat="1" ht="21">
      <c r="B16" s="105" t="s">
        <v>205</v>
      </c>
      <c r="C16" s="124"/>
      <c r="E16" s="116"/>
      <c r="F16" s="98" t="s">
        <v>393</v>
      </c>
    </row>
    <row r="17" spans="2:27" s="99" customFormat="1" ht="21">
      <c r="B17" s="106" t="s">
        <v>203</v>
      </c>
      <c r="C17" s="124"/>
      <c r="E17" s="116"/>
      <c r="F17" s="98" t="s">
        <v>392</v>
      </c>
      <c r="G17" s="106"/>
      <c r="H17" s="106"/>
      <c r="I17" s="106"/>
      <c r="J17" s="106"/>
      <c r="K17" s="106"/>
      <c r="L17" s="106"/>
      <c r="M17" s="106"/>
    </row>
    <row r="18" spans="2:27" s="99" customFormat="1" ht="21">
      <c r="B18" s="105" t="s">
        <v>204</v>
      </c>
      <c r="C18" s="124"/>
      <c r="E18" s="115"/>
      <c r="F18" s="114" t="s">
        <v>380</v>
      </c>
      <c r="S18" s="377"/>
    </row>
    <row r="19" spans="2:27" s="99" customFormat="1" ht="21">
      <c r="B19" s="105" t="s">
        <v>742</v>
      </c>
      <c r="C19" s="124"/>
      <c r="E19" s="115"/>
      <c r="F19" s="114" t="s">
        <v>381</v>
      </c>
      <c r="S19" s="377"/>
    </row>
    <row r="20" spans="2:27" s="99" customFormat="1" ht="21">
      <c r="B20" s="105" t="s">
        <v>740</v>
      </c>
      <c r="C20" s="124"/>
      <c r="E20" s="115"/>
      <c r="F20" s="114"/>
      <c r="S20" s="377"/>
    </row>
    <row r="21" spans="2:27" s="99" customFormat="1" ht="21">
      <c r="B21" s="105" t="s">
        <v>741</v>
      </c>
      <c r="C21" s="124"/>
      <c r="E21" s="115"/>
      <c r="F21" s="106" t="s">
        <v>390</v>
      </c>
      <c r="G21"/>
      <c r="S21" s="377"/>
    </row>
    <row r="22" spans="2:27" s="99" customFormat="1" ht="21" customHeight="1">
      <c r="B22" s="100"/>
      <c r="C22" s="101"/>
      <c r="E22" s="117"/>
      <c r="F22" s="114" t="s">
        <v>383</v>
      </c>
      <c r="G22"/>
      <c r="S22" s="778" t="s">
        <v>430</v>
      </c>
      <c r="T22" s="778"/>
      <c r="U22" s="778"/>
      <c r="V22" s="778"/>
      <c r="X22" s="778" t="s">
        <v>429</v>
      </c>
      <c r="Y22" s="778"/>
      <c r="Z22" s="778"/>
      <c r="AA22" s="778"/>
    </row>
    <row r="23" spans="2:27" s="99" customFormat="1" ht="21">
      <c r="B23" s="106" t="s">
        <v>206</v>
      </c>
      <c r="C23" s="129"/>
      <c r="E23" s="117"/>
      <c r="F23" s="114" t="s">
        <v>384</v>
      </c>
      <c r="G23"/>
      <c r="H23"/>
      <c r="I23"/>
      <c r="J23"/>
      <c r="K23"/>
      <c r="L23"/>
      <c r="M23"/>
      <c r="S23" s="778"/>
      <c r="T23" s="778"/>
      <c r="U23" s="778"/>
      <c r="V23" s="778"/>
      <c r="X23" s="778"/>
      <c r="Y23" s="778"/>
      <c r="Z23" s="778"/>
      <c r="AA23" s="778"/>
    </row>
    <row r="24" spans="2:27" ht="21.5" thickBot="1">
      <c r="E24" s="115"/>
      <c r="F24" s="98" t="s">
        <v>385</v>
      </c>
      <c r="N24" s="99"/>
      <c r="O24" s="99"/>
      <c r="P24" s="99"/>
      <c r="Q24" s="99"/>
      <c r="S24" s="778"/>
      <c r="T24" s="778"/>
      <c r="U24" s="778"/>
      <c r="V24" s="778"/>
      <c r="X24" s="778"/>
      <c r="Y24" s="778"/>
      <c r="Z24" s="778"/>
      <c r="AA24" s="778"/>
    </row>
    <row r="25" spans="2:27" ht="20" customHeight="1">
      <c r="B25" s="776" t="s">
        <v>177</v>
      </c>
      <c r="C25" s="773"/>
      <c r="F25" s="98" t="s">
        <v>386</v>
      </c>
      <c r="N25" s="99"/>
      <c r="O25" s="99"/>
      <c r="P25" s="99"/>
      <c r="Q25" s="99"/>
      <c r="X25" s="778"/>
      <c r="Y25" s="778"/>
      <c r="Z25" s="778"/>
      <c r="AA25" s="778"/>
    </row>
    <row r="26" spans="2:27" ht="20" customHeight="1">
      <c r="B26" s="776"/>
      <c r="C26" s="774"/>
    </row>
    <row r="27" spans="2:27" ht="21" customHeight="1">
      <c r="B27" s="776"/>
      <c r="C27" s="774"/>
      <c r="F27" s="106" t="s">
        <v>382</v>
      </c>
    </row>
    <row r="28" spans="2:27" ht="19" thickBot="1">
      <c r="B28" s="776"/>
      <c r="C28" s="775"/>
      <c r="F28" s="114" t="s">
        <v>409</v>
      </c>
    </row>
    <row r="29" spans="2:27" ht="18.5">
      <c r="F29" s="114" t="s">
        <v>408</v>
      </c>
    </row>
    <row r="30" spans="2:27" ht="18.5">
      <c r="C30" s="114" t="s">
        <v>216</v>
      </c>
      <c r="F30" s="98" t="s">
        <v>394</v>
      </c>
    </row>
    <row r="31" spans="2:27" ht="18.5">
      <c r="C31" s="114" t="s">
        <v>418</v>
      </c>
      <c r="F31" s="98" t="s">
        <v>397</v>
      </c>
    </row>
    <row r="32" spans="2:27" ht="18.5">
      <c r="F32" s="98" t="s">
        <v>398</v>
      </c>
    </row>
    <row r="33" spans="2:24" ht="20" customHeight="1"/>
    <row r="34" spans="2:24" ht="20" customHeight="1">
      <c r="B34" s="91" t="s">
        <v>218</v>
      </c>
      <c r="F34" s="106" t="s">
        <v>407</v>
      </c>
      <c r="G34" s="369"/>
    </row>
    <row r="35" spans="2:24" ht="20" customHeight="1">
      <c r="B35" s="771" t="s">
        <v>219</v>
      </c>
      <c r="C35" s="771"/>
      <c r="F35" s="114" t="s">
        <v>387</v>
      </c>
      <c r="G35" s="369"/>
    </row>
    <row r="36" spans="2:24">
      <c r="B36" s="771"/>
      <c r="C36" s="771"/>
    </row>
    <row r="37" spans="2:24" ht="25" customHeight="1">
      <c r="B37" s="771"/>
      <c r="C37" s="771"/>
      <c r="D37" s="311"/>
      <c r="H37" s="369"/>
      <c r="I37" s="369"/>
      <c r="J37" s="369"/>
      <c r="K37" s="369"/>
      <c r="L37" s="369"/>
      <c r="M37" s="369"/>
    </row>
    <row r="38" spans="2:24" ht="20" customHeight="1">
      <c r="D38" s="312"/>
      <c r="F38" s="370" t="s">
        <v>388</v>
      </c>
      <c r="H38" s="369"/>
      <c r="I38" s="369"/>
      <c r="J38" s="369"/>
      <c r="K38" s="369"/>
      <c r="L38" s="369"/>
      <c r="M38" s="369"/>
    </row>
    <row r="39" spans="2:24" ht="15" customHeight="1">
      <c r="G39" s="369"/>
      <c r="H39" s="369"/>
      <c r="I39" s="369"/>
      <c r="J39" s="369"/>
      <c r="K39" s="369"/>
      <c r="L39" s="369"/>
      <c r="M39" s="369"/>
    </row>
    <row r="40" spans="2:24" ht="18" customHeight="1">
      <c r="B40" s="79" t="s">
        <v>314</v>
      </c>
      <c r="C40" s="371"/>
      <c r="G40" s="369"/>
      <c r="H40" s="369"/>
      <c r="I40" s="369"/>
      <c r="J40" s="369"/>
      <c r="K40" s="369"/>
      <c r="L40" s="369"/>
      <c r="M40" s="369"/>
      <c r="N40" s="369"/>
      <c r="O40" s="369"/>
      <c r="P40" s="369"/>
      <c r="Q40" s="369"/>
      <c r="S40" s="777"/>
      <c r="T40" s="777"/>
      <c r="U40" s="777"/>
      <c r="V40" s="777"/>
      <c r="W40" s="777"/>
      <c r="X40" s="777"/>
    </row>
    <row r="41" spans="2:24" ht="16" customHeight="1">
      <c r="B41" s="778" t="s">
        <v>313</v>
      </c>
      <c r="C41" s="778"/>
      <c r="F41" s="779" t="s">
        <v>410</v>
      </c>
      <c r="G41" s="779"/>
      <c r="H41" s="779"/>
      <c r="I41" s="779"/>
      <c r="J41" s="779"/>
      <c r="K41" s="779"/>
      <c r="L41" s="779"/>
      <c r="M41" s="779"/>
      <c r="N41" s="779"/>
      <c r="O41" s="779"/>
      <c r="P41" s="779"/>
      <c r="Q41" s="779"/>
      <c r="S41" s="777"/>
      <c r="T41" s="777"/>
      <c r="U41" s="777"/>
      <c r="V41" s="777"/>
      <c r="W41" s="777"/>
      <c r="X41" s="777"/>
    </row>
    <row r="42" spans="2:24" ht="15" customHeight="1">
      <c r="B42" s="778"/>
      <c r="C42" s="778"/>
      <c r="F42" s="779"/>
      <c r="G42" s="779"/>
      <c r="H42" s="779"/>
      <c r="I42" s="779"/>
      <c r="J42" s="779"/>
      <c r="K42" s="779"/>
      <c r="L42" s="779"/>
      <c r="M42" s="779"/>
      <c r="N42" s="779"/>
      <c r="O42" s="779"/>
      <c r="P42" s="779"/>
      <c r="Q42" s="779"/>
      <c r="S42" s="777"/>
      <c r="T42" s="777"/>
      <c r="U42" s="777"/>
      <c r="V42" s="777"/>
      <c r="W42" s="777"/>
      <c r="X42" s="777"/>
    </row>
    <row r="43" spans="2:24" ht="15" customHeight="1">
      <c r="B43" s="778"/>
      <c r="C43" s="778"/>
      <c r="F43" s="779"/>
      <c r="G43" s="779"/>
      <c r="H43" s="779"/>
      <c r="I43" s="779"/>
      <c r="J43" s="779"/>
      <c r="K43" s="779"/>
      <c r="L43" s="779"/>
      <c r="M43" s="779"/>
      <c r="N43" s="779"/>
      <c r="O43" s="779"/>
      <c r="P43" s="779"/>
      <c r="Q43" s="779"/>
      <c r="S43" s="777"/>
      <c r="T43" s="777"/>
      <c r="U43" s="777"/>
      <c r="V43" s="777"/>
      <c r="W43" s="777"/>
      <c r="X43" s="777"/>
    </row>
    <row r="44" spans="2:24" ht="15" customHeight="1">
      <c r="B44" s="778"/>
      <c r="C44" s="778"/>
      <c r="F44" s="756"/>
      <c r="G44" s="756"/>
      <c r="H44" s="756"/>
      <c r="I44" s="756"/>
      <c r="J44" s="756"/>
      <c r="K44" s="756"/>
      <c r="L44" s="756"/>
      <c r="M44" s="756"/>
      <c r="N44" s="756"/>
      <c r="O44" s="756"/>
      <c r="P44" s="756"/>
      <c r="Q44" s="756"/>
      <c r="S44" s="777"/>
      <c r="T44" s="777"/>
      <c r="U44" s="777"/>
      <c r="V44" s="777"/>
      <c r="W44" s="777"/>
      <c r="X44" s="777"/>
    </row>
    <row r="45" spans="2:24" ht="15" customHeight="1">
      <c r="B45" s="778"/>
      <c r="C45" s="778"/>
      <c r="F45" s="756"/>
      <c r="G45" s="756"/>
      <c r="H45" s="756"/>
      <c r="I45" s="756"/>
      <c r="J45" s="756"/>
      <c r="K45" s="756"/>
      <c r="L45" s="756"/>
      <c r="M45" s="756"/>
      <c r="N45" s="756"/>
      <c r="O45" s="756"/>
      <c r="P45" s="756"/>
      <c r="Q45" s="756"/>
    </row>
    <row r="46" spans="2:24" ht="14.5" customHeight="1">
      <c r="B46" s="778"/>
      <c r="C46" s="778"/>
    </row>
    <row r="47" spans="2:24">
      <c r="B47" s="778"/>
      <c r="C47" s="778"/>
    </row>
    <row r="48" spans="2:24">
      <c r="B48" s="778"/>
      <c r="C48" s="778"/>
    </row>
    <row r="50" spans="6:22" ht="21">
      <c r="F50" s="369"/>
    </row>
    <row r="57" spans="6:22">
      <c r="O57" s="772"/>
      <c r="P57" s="772"/>
      <c r="Q57" s="772"/>
      <c r="R57" s="772"/>
      <c r="S57" s="772"/>
      <c r="T57" s="772"/>
      <c r="U57" s="772"/>
      <c r="V57" s="772"/>
    </row>
    <row r="58" spans="6:22">
      <c r="G58" s="769"/>
      <c r="H58" s="769"/>
      <c r="I58" s="769"/>
      <c r="J58" s="769"/>
      <c r="K58" s="769"/>
      <c r="L58" s="769"/>
      <c r="M58" s="769"/>
      <c r="O58" s="772"/>
      <c r="P58" s="772"/>
      <c r="Q58" s="772"/>
      <c r="R58" s="772"/>
      <c r="S58" s="772"/>
      <c r="T58" s="772"/>
      <c r="U58" s="772"/>
      <c r="V58" s="772"/>
    </row>
    <row r="59" spans="6:22">
      <c r="G59" s="769"/>
      <c r="H59" s="769"/>
      <c r="I59" s="769"/>
      <c r="J59" s="769"/>
      <c r="K59" s="769"/>
      <c r="L59" s="769"/>
      <c r="M59" s="769"/>
      <c r="O59" s="772"/>
      <c r="P59" s="772"/>
      <c r="Q59" s="772"/>
      <c r="R59" s="772"/>
      <c r="S59" s="772"/>
      <c r="T59" s="772"/>
      <c r="U59" s="772"/>
      <c r="V59" s="772"/>
    </row>
    <row r="60" spans="6:22">
      <c r="G60" s="769"/>
      <c r="H60" s="769"/>
      <c r="I60" s="769"/>
      <c r="J60" s="769"/>
      <c r="K60" s="769"/>
      <c r="L60" s="769"/>
      <c r="M60" s="769"/>
      <c r="O60" s="772"/>
      <c r="P60" s="772"/>
      <c r="Q60" s="772"/>
      <c r="R60" s="772"/>
      <c r="S60" s="772"/>
      <c r="T60" s="772"/>
      <c r="U60" s="772"/>
      <c r="V60" s="772"/>
    </row>
  </sheetData>
  <mergeCells count="12">
    <mergeCell ref="G58:M60"/>
    <mergeCell ref="F8:Q9"/>
    <mergeCell ref="F12:Q13"/>
    <mergeCell ref="B35:C37"/>
    <mergeCell ref="O57:V60"/>
    <mergeCell ref="C25:C28"/>
    <mergeCell ref="B25:B28"/>
    <mergeCell ref="S40:X44"/>
    <mergeCell ref="S22:V24"/>
    <mergeCell ref="X22:AA25"/>
    <mergeCell ref="B41:C48"/>
    <mergeCell ref="F41:Q43"/>
  </mergeCells>
  <dataValidations count="1">
    <dataValidation type="list" allowBlank="1" showInputMessage="1" showErrorMessage="1" sqref="C25:C28" xr:uid="{7ED98E1D-4CDD-1448-B2D5-070987DD83E1}">
      <formula1>"Basic, Intermediate, Advanced"</formula1>
    </dataValidation>
  </dataValidations>
  <pageMargins left="0.7" right="0.7" top="0.75" bottom="0.75" header="0.3" footer="0.3"/>
  <pageSetup paperSize="9"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CBF4F-8EAA-47E4-B533-718B88A564B6}">
  <sheetPr>
    <tabColor rgb="FFFF0000"/>
    <pageSetUpPr fitToPage="1"/>
  </sheetPr>
  <dimension ref="B2:AH66"/>
  <sheetViews>
    <sheetView showGridLines="0" zoomScaleNormal="100" workbookViewId="0">
      <selection activeCell="L64" sqref="L64"/>
    </sheetView>
  </sheetViews>
  <sheetFormatPr defaultColWidth="8.81640625" defaultRowHeight="15.5"/>
  <cols>
    <col min="1" max="1" width="5.453125" style="451" customWidth="1"/>
    <col min="2" max="2" width="20.81640625" style="449" customWidth="1"/>
    <col min="3" max="3" width="21.453125" style="449" customWidth="1"/>
    <col min="4" max="4" width="5.81640625" style="449" customWidth="1"/>
    <col min="5" max="5" width="10.81640625" style="449" customWidth="1"/>
    <col min="6" max="6" width="2.81640625" style="449" customWidth="1"/>
    <col min="7" max="7" width="15.81640625" style="449" customWidth="1"/>
    <col min="8" max="8" width="5.81640625" style="449" customWidth="1"/>
    <col min="9" max="9" width="12.81640625" style="449" customWidth="1"/>
    <col min="10" max="11" width="1.453125" style="449" customWidth="1"/>
    <col min="12" max="12" width="15.81640625" style="449" customWidth="1"/>
    <col min="13" max="13" width="5.81640625" style="449" customWidth="1"/>
    <col min="14" max="14" width="12.81640625" style="449" customWidth="1"/>
    <col min="15" max="15" width="2.6328125" style="449" customWidth="1"/>
    <col min="16" max="16" width="12.81640625" style="449" customWidth="1"/>
    <col min="17" max="17" width="15.81640625" style="449" customWidth="1"/>
    <col min="18" max="18" width="3.36328125" style="449" customWidth="1"/>
    <col min="19" max="20" width="8.81640625" style="451"/>
    <col min="21" max="21" width="30" style="451" customWidth="1"/>
    <col min="22" max="22" width="21" style="451" customWidth="1"/>
    <col min="23" max="26" width="8.81640625" style="451"/>
    <col min="27" max="27" width="21.453125" style="451" customWidth="1"/>
    <col min="28" max="16384" width="8.81640625" style="451"/>
  </cols>
  <sheetData>
    <row r="2" spans="2:34" ht="60" customHeight="1">
      <c r="B2" s="447" t="s">
        <v>403</v>
      </c>
      <c r="C2" s="448"/>
      <c r="D2" s="448"/>
      <c r="E2" s="448"/>
      <c r="F2" s="448"/>
      <c r="G2" s="448"/>
      <c r="H2" s="448"/>
      <c r="I2" s="448"/>
      <c r="J2" s="448"/>
      <c r="K2" s="448"/>
      <c r="L2" s="949">
        <f>Forestillingstitel</f>
        <v>0</v>
      </c>
      <c r="M2" s="949"/>
      <c r="N2" s="949"/>
      <c r="O2" s="949"/>
      <c r="P2" s="949"/>
      <c r="Q2" s="949"/>
    </row>
    <row r="3" spans="2:34" ht="5" customHeight="1">
      <c r="B3" s="642"/>
      <c r="C3" s="642"/>
      <c r="D3" s="642"/>
      <c r="E3" s="642"/>
      <c r="F3" s="642"/>
      <c r="G3" s="642"/>
      <c r="H3" s="642"/>
      <c r="I3" s="642"/>
      <c r="J3" s="642"/>
      <c r="K3" s="642"/>
      <c r="L3" s="642"/>
      <c r="M3" s="642"/>
      <c r="N3" s="642"/>
      <c r="O3" s="642"/>
      <c r="P3" s="642"/>
      <c r="Q3" s="642"/>
    </row>
    <row r="4" spans="2:34" ht="20" customHeight="1">
      <c r="B4" s="385" t="s">
        <v>211</v>
      </c>
      <c r="C4" s="237">
        <f>Forestillingstitel</f>
        <v>0</v>
      </c>
      <c r="D4" s="452"/>
      <c r="E4" s="452"/>
      <c r="F4" s="453"/>
      <c r="G4" s="806" t="s">
        <v>210</v>
      </c>
      <c r="H4" s="806"/>
      <c r="I4" s="806"/>
      <c r="J4" s="386"/>
      <c r="K4" s="386"/>
      <c r="L4" s="825">
        <f>TARGET</f>
        <v>0</v>
      </c>
      <c r="M4" s="825"/>
      <c r="N4" s="825"/>
      <c r="O4" s="453"/>
      <c r="P4" s="454" t="s">
        <v>404</v>
      </c>
      <c r="Q4" s="454"/>
      <c r="S4" s="449"/>
    </row>
    <row r="5" spans="2:34" ht="20" customHeight="1">
      <c r="B5" s="385" t="s">
        <v>198</v>
      </c>
      <c r="C5" s="237">
        <f>KUNSTART</f>
        <v>0</v>
      </c>
      <c r="D5" s="452"/>
      <c r="E5" s="452"/>
      <c r="F5" s="453"/>
      <c r="G5" s="806"/>
      <c r="H5" s="806"/>
      <c r="I5" s="806"/>
      <c r="J5" s="386"/>
      <c r="K5" s="386"/>
      <c r="L5" s="825"/>
      <c r="M5" s="825"/>
      <c r="N5" s="825"/>
      <c r="O5" s="453"/>
      <c r="P5" s="454" t="s">
        <v>34</v>
      </c>
      <c r="Q5" s="383"/>
      <c r="S5" s="449"/>
    </row>
    <row r="6" spans="2:34" ht="20" customHeight="1">
      <c r="B6" s="385" t="s">
        <v>212</v>
      </c>
      <c r="C6" s="237">
        <f>sæson</f>
        <v>0</v>
      </c>
      <c r="D6" s="452"/>
      <c r="E6" s="452"/>
      <c r="F6" s="453"/>
      <c r="G6" s="806"/>
      <c r="H6" s="806"/>
      <c r="I6" s="806"/>
      <c r="J6" s="386"/>
      <c r="K6" s="386"/>
      <c r="L6" s="825"/>
      <c r="M6" s="825"/>
      <c r="N6" s="825"/>
      <c r="O6" s="453"/>
      <c r="P6" s="454" t="s">
        <v>199</v>
      </c>
      <c r="Q6" s="237">
        <f>producer</f>
        <v>0</v>
      </c>
      <c r="S6" s="449"/>
    </row>
    <row r="7" spans="2:34" ht="7" customHeight="1">
      <c r="S7" s="449"/>
    </row>
    <row r="8" spans="2:34" ht="8" customHeight="1">
      <c r="B8" s="942"/>
      <c r="C8" s="942"/>
      <c r="D8" s="942"/>
      <c r="E8" s="942"/>
      <c r="F8" s="456"/>
      <c r="G8" s="827" t="s">
        <v>22</v>
      </c>
      <c r="H8" s="827"/>
      <c r="I8" s="827"/>
      <c r="J8" s="456"/>
      <c r="K8" s="456"/>
      <c r="L8" s="827" t="s">
        <v>12</v>
      </c>
      <c r="M8" s="827"/>
      <c r="N8" s="827"/>
      <c r="O8" s="456"/>
      <c r="P8" s="898" t="s">
        <v>402</v>
      </c>
      <c r="Q8" s="899"/>
      <c r="R8" s="459"/>
      <c r="S8" s="459"/>
    </row>
    <row r="9" spans="2:34" ht="5" customHeight="1">
      <c r="B9" s="459"/>
      <c r="C9" s="459"/>
      <c r="D9" s="459"/>
      <c r="E9" s="459"/>
      <c r="F9" s="459"/>
      <c r="G9" s="827"/>
      <c r="H9" s="827"/>
      <c r="I9" s="827"/>
      <c r="J9" s="456"/>
      <c r="K9" s="643"/>
      <c r="L9" s="827"/>
      <c r="M9" s="827"/>
      <c r="N9" s="827"/>
      <c r="O9" s="459"/>
      <c r="P9" s="900"/>
      <c r="Q9" s="901"/>
      <c r="R9" s="459"/>
      <c r="S9" s="459"/>
      <c r="U9" s="944"/>
      <c r="V9" s="644"/>
      <c r="W9" s="945"/>
      <c r="X9" s="945"/>
      <c r="Y9" s="645"/>
      <c r="Z9" s="947"/>
      <c r="AA9" s="947"/>
      <c r="AB9" s="947"/>
      <c r="AC9" s="645"/>
      <c r="AD9" s="948"/>
      <c r="AE9" s="948"/>
      <c r="AF9" s="948"/>
      <c r="AG9" s="645"/>
      <c r="AH9" s="645"/>
    </row>
    <row r="10" spans="2:34" ht="5" customHeight="1">
      <c r="B10" s="943" t="s">
        <v>406</v>
      </c>
      <c r="C10" s="943"/>
      <c r="D10" s="943"/>
      <c r="E10" s="943"/>
      <c r="F10" s="461"/>
      <c r="G10" s="827"/>
      <c r="H10" s="827"/>
      <c r="I10" s="827"/>
      <c r="J10" s="646"/>
      <c r="K10" s="643"/>
      <c r="L10" s="827"/>
      <c r="M10" s="827"/>
      <c r="N10" s="827"/>
      <c r="O10" s="464"/>
      <c r="P10" s="900"/>
      <c r="Q10" s="901"/>
      <c r="R10" s="461"/>
      <c r="S10" s="461"/>
      <c r="U10" s="944"/>
      <c r="V10" s="644"/>
      <c r="W10" s="945"/>
      <c r="X10" s="945"/>
      <c r="Y10" s="645"/>
      <c r="Z10" s="947"/>
      <c r="AA10" s="947"/>
      <c r="AB10" s="947"/>
      <c r="AC10" s="645"/>
      <c r="AD10" s="948"/>
      <c r="AE10" s="948"/>
      <c r="AF10" s="948"/>
      <c r="AG10" s="645"/>
      <c r="AH10" s="645"/>
    </row>
    <row r="11" spans="2:34" ht="5" customHeight="1">
      <c r="B11" s="943"/>
      <c r="C11" s="943"/>
      <c r="D11" s="943"/>
      <c r="E11" s="943"/>
      <c r="F11" s="461"/>
      <c r="G11" s="827"/>
      <c r="H11" s="827"/>
      <c r="I11" s="827"/>
      <c r="J11" s="646"/>
      <c r="K11" s="643"/>
      <c r="L11" s="827"/>
      <c r="M11" s="827"/>
      <c r="N11" s="827"/>
      <c r="O11" s="464"/>
      <c r="P11" s="900"/>
      <c r="Q11" s="901"/>
      <c r="R11" s="461"/>
      <c r="S11" s="461"/>
      <c r="U11" s="944"/>
      <c r="V11" s="644"/>
      <c r="W11" s="945"/>
      <c r="X11" s="945"/>
      <c r="Y11" s="645"/>
      <c r="Z11" s="947"/>
      <c r="AA11" s="947"/>
      <c r="AB11" s="947"/>
      <c r="AC11" s="645"/>
      <c r="AD11" s="948"/>
      <c r="AE11" s="948"/>
      <c r="AF11" s="948"/>
      <c r="AG11" s="645"/>
      <c r="AH11" s="645"/>
    </row>
    <row r="12" spans="2:34" ht="5" customHeight="1">
      <c r="B12" s="943"/>
      <c r="C12" s="943"/>
      <c r="D12" s="943"/>
      <c r="E12" s="943"/>
      <c r="F12" s="461"/>
      <c r="G12" s="827"/>
      <c r="H12" s="827"/>
      <c r="I12" s="827"/>
      <c r="J12" s="646"/>
      <c r="K12" s="643"/>
      <c r="L12" s="827"/>
      <c r="M12" s="827"/>
      <c r="N12" s="827"/>
      <c r="O12" s="464"/>
      <c r="P12" s="900"/>
      <c r="Q12" s="901"/>
      <c r="R12" s="461"/>
      <c r="S12" s="461"/>
    </row>
    <row r="13" spans="2:34" ht="5" customHeight="1">
      <c r="B13" s="943"/>
      <c r="C13" s="943"/>
      <c r="D13" s="943"/>
      <c r="E13" s="943"/>
      <c r="F13" s="461"/>
      <c r="G13" s="827"/>
      <c r="H13" s="827"/>
      <c r="I13" s="827"/>
      <c r="J13" s="647"/>
      <c r="K13" s="648"/>
      <c r="L13" s="827"/>
      <c r="M13" s="827"/>
      <c r="N13" s="827"/>
      <c r="O13" s="523"/>
      <c r="P13" s="900"/>
      <c r="Q13" s="901"/>
      <c r="R13" s="461"/>
      <c r="S13" s="461"/>
      <c r="U13" s="946"/>
      <c r="V13" s="946"/>
      <c r="W13" s="946"/>
      <c r="X13" s="946"/>
      <c r="Y13" s="649"/>
      <c r="Z13" s="946"/>
      <c r="AA13" s="946"/>
      <c r="AB13" s="946"/>
      <c r="AC13" s="649"/>
      <c r="AD13" s="946"/>
      <c r="AE13" s="946"/>
      <c r="AF13" s="946"/>
      <c r="AG13" s="649"/>
      <c r="AH13" s="649"/>
    </row>
    <row r="14" spans="2:34" ht="5" customHeight="1">
      <c r="B14" s="943"/>
      <c r="C14" s="943"/>
      <c r="D14" s="943"/>
      <c r="E14" s="943"/>
      <c r="F14" s="461"/>
      <c r="G14" s="827"/>
      <c r="H14" s="827"/>
      <c r="I14" s="827"/>
      <c r="J14" s="650"/>
      <c r="K14" s="643"/>
      <c r="L14" s="827"/>
      <c r="M14" s="827"/>
      <c r="N14" s="827"/>
      <c r="O14" s="470"/>
      <c r="P14" s="900"/>
      <c r="Q14" s="901"/>
      <c r="R14" s="461"/>
      <c r="S14" s="461"/>
      <c r="U14" s="649"/>
      <c r="V14" s="649"/>
      <c r="W14" s="649"/>
      <c r="X14" s="649"/>
      <c r="Y14" s="649"/>
      <c r="Z14" s="649"/>
      <c r="AA14" s="649"/>
      <c r="AB14" s="649"/>
      <c r="AC14" s="649"/>
      <c r="AD14" s="649"/>
      <c r="AE14" s="649"/>
      <c r="AF14" s="649"/>
      <c r="AG14" s="649"/>
      <c r="AH14" s="649"/>
    </row>
    <row r="15" spans="2:34" ht="5" customHeight="1">
      <c r="B15" s="473"/>
      <c r="C15" s="461"/>
      <c r="D15" s="461"/>
      <c r="E15" s="461"/>
      <c r="F15" s="461"/>
      <c r="G15" s="827"/>
      <c r="H15" s="827"/>
      <c r="I15" s="827"/>
      <c r="J15" s="651"/>
      <c r="K15" s="651"/>
      <c r="L15" s="827"/>
      <c r="M15" s="827"/>
      <c r="N15" s="827"/>
      <c r="O15" s="461"/>
      <c r="P15" s="900"/>
      <c r="Q15" s="901"/>
      <c r="R15" s="461"/>
      <c r="S15" s="461"/>
      <c r="U15" s="652"/>
      <c r="V15" s="653"/>
      <c r="W15" s="653"/>
      <c r="X15" s="653"/>
      <c r="Y15" s="653"/>
      <c r="Z15" s="930"/>
      <c r="AA15" s="930"/>
      <c r="AB15" s="654"/>
      <c r="AC15" s="645"/>
      <c r="AD15" s="930"/>
      <c r="AE15" s="930"/>
      <c r="AF15" s="654"/>
      <c r="AG15" s="655"/>
      <c r="AH15" s="653"/>
    </row>
    <row r="16" spans="2:34" ht="5" customHeight="1">
      <c r="B16" s="444"/>
      <c r="C16" s="656"/>
      <c r="D16" s="656"/>
      <c r="E16" s="657"/>
      <c r="F16" s="656"/>
      <c r="G16" s="827"/>
      <c r="H16" s="827"/>
      <c r="I16" s="827"/>
      <c r="J16" s="658"/>
      <c r="K16" s="659"/>
      <c r="L16" s="827"/>
      <c r="M16" s="827"/>
      <c r="N16" s="827"/>
      <c r="O16" s="464"/>
      <c r="P16" s="902"/>
      <c r="Q16" s="903"/>
      <c r="R16" s="464"/>
      <c r="S16" s="464"/>
      <c r="U16" s="652"/>
      <c r="V16" s="653"/>
      <c r="W16" s="653"/>
      <c r="X16" s="653"/>
      <c r="Y16" s="653"/>
      <c r="Z16" s="930"/>
      <c r="AA16" s="930"/>
      <c r="AB16" s="654"/>
      <c r="AC16" s="645"/>
      <c r="AD16" s="930"/>
      <c r="AE16" s="930"/>
      <c r="AF16" s="654"/>
      <c r="AG16" s="655"/>
      <c r="AH16" s="653"/>
    </row>
    <row r="17" spans="2:34" ht="19" thickBot="1">
      <c r="E17" s="476"/>
      <c r="I17" s="464"/>
      <c r="J17" s="464"/>
      <c r="S17" s="449"/>
      <c r="U17" s="652"/>
      <c r="V17" s="653"/>
      <c r="W17" s="653"/>
      <c r="X17" s="653"/>
      <c r="Y17" s="653"/>
      <c r="Z17" s="930"/>
      <c r="AA17" s="930"/>
      <c r="AB17" s="654"/>
      <c r="AC17" s="645"/>
      <c r="AD17" s="930"/>
      <c r="AE17" s="930"/>
      <c r="AF17" s="654"/>
      <c r="AG17" s="655"/>
      <c r="AH17" s="653"/>
    </row>
    <row r="18" spans="2:34" ht="10" customHeight="1">
      <c r="B18" s="933" t="s">
        <v>19</v>
      </c>
      <c r="C18" s="934"/>
      <c r="D18" s="934"/>
      <c r="E18" s="935"/>
      <c r="F18" s="489"/>
      <c r="G18" s="904" t="str">
        <f>Scenery!I56</f>
        <v>n/a</v>
      </c>
      <c r="H18" s="905"/>
      <c r="I18" s="906"/>
      <c r="J18" s="660"/>
      <c r="K18" s="495"/>
      <c r="L18" s="904" t="str">
        <f>Scenery!N56</f>
        <v>n/a</v>
      </c>
      <c r="M18" s="905"/>
      <c r="N18" s="906"/>
      <c r="O18" s="489"/>
      <c r="P18" s="925" t="s">
        <v>184</v>
      </c>
      <c r="Q18" s="922">
        <f>Scenery!T56+Costume!T44</f>
        <v>0</v>
      </c>
      <c r="S18" s="449"/>
      <c r="U18" s="652"/>
      <c r="V18" s="653"/>
      <c r="W18" s="653"/>
      <c r="X18" s="653"/>
      <c r="Y18" s="653"/>
      <c r="Z18" s="932"/>
      <c r="AA18" s="932"/>
      <c r="AB18" s="661"/>
      <c r="AC18" s="661"/>
      <c r="AD18" s="932"/>
      <c r="AE18" s="932"/>
      <c r="AF18" s="661"/>
      <c r="AG18" s="661"/>
      <c r="AH18" s="653"/>
    </row>
    <row r="19" spans="2:34" ht="10" customHeight="1">
      <c r="B19" s="936"/>
      <c r="C19" s="937"/>
      <c r="D19" s="937"/>
      <c r="E19" s="938"/>
      <c r="F19" s="489"/>
      <c r="G19" s="907"/>
      <c r="H19" s="908"/>
      <c r="I19" s="909"/>
      <c r="J19" s="660"/>
      <c r="K19" s="495"/>
      <c r="L19" s="907"/>
      <c r="M19" s="908"/>
      <c r="N19" s="909"/>
      <c r="O19" s="489"/>
      <c r="P19" s="925"/>
      <c r="Q19" s="923"/>
      <c r="S19" s="449"/>
      <c r="U19" s="662"/>
      <c r="V19" s="662"/>
      <c r="W19" s="663"/>
      <c r="X19" s="653"/>
      <c r="Y19" s="653"/>
      <c r="Z19" s="932"/>
      <c r="AA19" s="932"/>
      <c r="AB19" s="664"/>
      <c r="AC19" s="661"/>
      <c r="AD19" s="932"/>
      <c r="AE19" s="932"/>
      <c r="AF19" s="664"/>
      <c r="AG19" s="661"/>
      <c r="AH19" s="931"/>
    </row>
    <row r="20" spans="2:34" ht="10" customHeight="1">
      <c r="B20" s="936"/>
      <c r="C20" s="937"/>
      <c r="D20" s="937"/>
      <c r="E20" s="938"/>
      <c r="F20" s="489"/>
      <c r="G20" s="907"/>
      <c r="H20" s="908"/>
      <c r="I20" s="909"/>
      <c r="J20" s="660"/>
      <c r="K20" s="495"/>
      <c r="L20" s="907"/>
      <c r="M20" s="908"/>
      <c r="N20" s="909"/>
      <c r="O20" s="489"/>
      <c r="P20" s="925"/>
      <c r="Q20" s="923"/>
      <c r="R20" s="928" t="s">
        <v>644</v>
      </c>
      <c r="S20" s="929"/>
      <c r="T20" s="929"/>
      <c r="U20" s="929"/>
      <c r="V20" s="662"/>
      <c r="W20" s="663"/>
      <c r="X20" s="653"/>
      <c r="Y20" s="653"/>
      <c r="Z20" s="932"/>
      <c r="AA20" s="932"/>
      <c r="AB20" s="664"/>
      <c r="AC20" s="661"/>
      <c r="AD20" s="932"/>
      <c r="AE20" s="932"/>
      <c r="AF20" s="664"/>
      <c r="AG20" s="661"/>
      <c r="AH20" s="931"/>
    </row>
    <row r="21" spans="2:34" ht="10" customHeight="1" thickBot="1">
      <c r="B21" s="939"/>
      <c r="C21" s="940"/>
      <c r="D21" s="940"/>
      <c r="E21" s="941"/>
      <c r="F21" s="489"/>
      <c r="G21" s="910"/>
      <c r="H21" s="911"/>
      <c r="I21" s="912"/>
      <c r="J21" s="660"/>
      <c r="K21" s="495"/>
      <c r="L21" s="910"/>
      <c r="M21" s="911"/>
      <c r="N21" s="912"/>
      <c r="O21" s="489"/>
      <c r="P21" s="925"/>
      <c r="Q21" s="924"/>
      <c r="R21" s="928"/>
      <c r="S21" s="929"/>
      <c r="T21" s="929"/>
      <c r="U21" s="929"/>
      <c r="V21" s="653"/>
      <c r="W21" s="653"/>
      <c r="X21" s="653"/>
      <c r="Y21" s="653"/>
      <c r="Z21" s="653"/>
      <c r="AA21" s="653"/>
      <c r="AB21" s="653"/>
      <c r="AC21" s="653"/>
      <c r="AD21" s="653"/>
      <c r="AE21" s="653"/>
      <c r="AF21" s="653"/>
      <c r="AG21" s="653"/>
      <c r="AH21" s="666"/>
    </row>
    <row r="22" spans="2:34" ht="16" customHeight="1" thickBot="1">
      <c r="B22" s="667"/>
      <c r="C22" s="667"/>
      <c r="D22" s="667"/>
      <c r="E22" s="668"/>
      <c r="F22" s="489"/>
      <c r="G22" s="669"/>
      <c r="H22" s="669"/>
      <c r="I22" s="670"/>
      <c r="J22" s="660"/>
      <c r="K22" s="671"/>
      <c r="L22" s="669"/>
      <c r="M22" s="669"/>
      <c r="N22" s="670"/>
      <c r="O22" s="489"/>
      <c r="P22" s="672"/>
      <c r="Q22" s="673"/>
      <c r="S22" s="449"/>
      <c r="U22" s="674"/>
      <c r="V22" s="674"/>
      <c r="W22" s="663"/>
      <c r="X22" s="653"/>
      <c r="Y22" s="653"/>
      <c r="Z22" s="932"/>
      <c r="AA22" s="932"/>
      <c r="AB22" s="664"/>
      <c r="AC22" s="661"/>
      <c r="AD22" s="932"/>
      <c r="AE22" s="932"/>
      <c r="AF22" s="664"/>
      <c r="AG22" s="661"/>
      <c r="AH22" s="931"/>
    </row>
    <row r="23" spans="2:34" ht="10" customHeight="1">
      <c r="B23" s="933" t="s">
        <v>20</v>
      </c>
      <c r="C23" s="934"/>
      <c r="D23" s="934"/>
      <c r="E23" s="935"/>
      <c r="F23" s="489"/>
      <c r="G23" s="904" t="str">
        <f>Costume!J44</f>
        <v>n/a</v>
      </c>
      <c r="H23" s="905"/>
      <c r="I23" s="906"/>
      <c r="J23" s="660"/>
      <c r="K23" s="495"/>
      <c r="L23" s="904" t="str">
        <f>Costume!N44</f>
        <v>n/a</v>
      </c>
      <c r="M23" s="905"/>
      <c r="N23" s="906"/>
      <c r="O23" s="489"/>
      <c r="P23" s="925" t="s">
        <v>185</v>
      </c>
      <c r="Q23" s="922">
        <f>Travel!K65</f>
        <v>0</v>
      </c>
      <c r="S23" s="449"/>
      <c r="T23" s="858" t="s">
        <v>416</v>
      </c>
      <c r="U23" s="858"/>
      <c r="V23" s="858"/>
      <c r="W23" s="663"/>
      <c r="X23" s="653"/>
      <c r="Y23" s="653"/>
      <c r="Z23" s="932"/>
      <c r="AA23" s="932"/>
      <c r="AB23" s="664"/>
      <c r="AC23" s="661"/>
      <c r="AD23" s="932"/>
      <c r="AE23" s="932"/>
      <c r="AF23" s="664"/>
      <c r="AG23" s="661"/>
      <c r="AH23" s="931"/>
    </row>
    <row r="24" spans="2:34" ht="10" customHeight="1">
      <c r="B24" s="936"/>
      <c r="C24" s="937"/>
      <c r="D24" s="937"/>
      <c r="E24" s="938"/>
      <c r="F24" s="489"/>
      <c r="G24" s="907"/>
      <c r="H24" s="908"/>
      <c r="I24" s="909"/>
      <c r="J24" s="660"/>
      <c r="K24" s="495"/>
      <c r="L24" s="907"/>
      <c r="M24" s="908"/>
      <c r="N24" s="909"/>
      <c r="O24" s="489"/>
      <c r="P24" s="925"/>
      <c r="Q24" s="923"/>
      <c r="S24" s="449"/>
      <c r="T24" s="858"/>
      <c r="U24" s="858"/>
      <c r="V24" s="858"/>
      <c r="W24" s="675"/>
      <c r="X24" s="676"/>
      <c r="Y24" s="645"/>
      <c r="Z24" s="675"/>
      <c r="AA24" s="675"/>
      <c r="AB24" s="655"/>
      <c r="AC24" s="645"/>
      <c r="AD24" s="675"/>
      <c r="AE24" s="675"/>
      <c r="AF24" s="661"/>
      <c r="AG24" s="645"/>
      <c r="AH24" s="677"/>
    </row>
    <row r="25" spans="2:34" ht="10" customHeight="1">
      <c r="B25" s="936"/>
      <c r="C25" s="937"/>
      <c r="D25" s="937"/>
      <c r="E25" s="938"/>
      <c r="F25" s="489"/>
      <c r="G25" s="907"/>
      <c r="H25" s="908"/>
      <c r="I25" s="909"/>
      <c r="J25" s="660"/>
      <c r="K25" s="495"/>
      <c r="L25" s="907"/>
      <c r="M25" s="908"/>
      <c r="N25" s="909"/>
      <c r="O25" s="489"/>
      <c r="P25" s="925"/>
      <c r="Q25" s="923"/>
      <c r="S25" s="449"/>
      <c r="T25" s="858"/>
      <c r="U25" s="858"/>
      <c r="V25" s="858"/>
      <c r="W25" s="663"/>
      <c r="X25" s="653"/>
      <c r="Y25" s="653"/>
      <c r="Z25" s="932"/>
      <c r="AA25" s="932"/>
      <c r="AB25" s="664"/>
      <c r="AC25" s="661"/>
      <c r="AD25" s="932"/>
      <c r="AE25" s="932"/>
      <c r="AF25" s="664"/>
      <c r="AG25" s="661"/>
      <c r="AH25" s="665"/>
    </row>
    <row r="26" spans="2:34" ht="10" customHeight="1" thickBot="1">
      <c r="B26" s="939"/>
      <c r="C26" s="940"/>
      <c r="D26" s="940"/>
      <c r="E26" s="941"/>
      <c r="F26" s="489"/>
      <c r="G26" s="910"/>
      <c r="H26" s="911"/>
      <c r="I26" s="912"/>
      <c r="J26" s="660"/>
      <c r="K26" s="495"/>
      <c r="L26" s="910"/>
      <c r="M26" s="911"/>
      <c r="N26" s="912"/>
      <c r="O26" s="489"/>
      <c r="P26" s="925"/>
      <c r="Q26" s="924"/>
      <c r="S26" s="449"/>
      <c r="T26" s="858"/>
      <c r="U26" s="858"/>
      <c r="V26" s="858"/>
      <c r="W26" s="645"/>
      <c r="X26" s="645"/>
      <c r="Y26" s="645"/>
      <c r="Z26" s="645"/>
      <c r="AA26" s="645"/>
      <c r="AB26" s="655"/>
      <c r="AC26" s="645"/>
      <c r="AD26" s="645"/>
      <c r="AE26" s="645"/>
      <c r="AF26" s="655"/>
      <c r="AG26" s="645"/>
      <c r="AH26" s="677"/>
    </row>
    <row r="27" spans="2:34" ht="16" customHeight="1" thickBot="1">
      <c r="B27" s="678"/>
      <c r="C27" s="678"/>
      <c r="D27" s="678"/>
      <c r="E27" s="456"/>
      <c r="F27" s="489"/>
      <c r="G27" s="669"/>
      <c r="H27" s="669"/>
      <c r="I27" s="670"/>
      <c r="J27" s="660"/>
      <c r="K27" s="671"/>
      <c r="L27" s="669"/>
      <c r="M27" s="669"/>
      <c r="N27" s="670"/>
      <c r="O27" s="489"/>
      <c r="P27" s="679"/>
      <c r="Q27" s="673"/>
      <c r="S27" s="449"/>
      <c r="U27" s="897"/>
      <c r="V27" s="897"/>
      <c r="W27" s="663"/>
      <c r="X27" s="653"/>
      <c r="Y27" s="653"/>
      <c r="Z27" s="932"/>
      <c r="AA27" s="932"/>
      <c r="AB27" s="664"/>
      <c r="AC27" s="661"/>
      <c r="AD27" s="932"/>
      <c r="AE27" s="932"/>
      <c r="AF27" s="664"/>
      <c r="AG27" s="680"/>
      <c r="AH27" s="931"/>
    </row>
    <row r="28" spans="2:34" ht="10" customHeight="1">
      <c r="B28" s="933" t="s">
        <v>21</v>
      </c>
      <c r="C28" s="934"/>
      <c r="D28" s="934"/>
      <c r="E28" s="935"/>
      <c r="F28" s="489"/>
      <c r="G28" s="904" t="str">
        <f>'Props &amp; furniture'!H57</f>
        <v>n/a</v>
      </c>
      <c r="H28" s="905"/>
      <c r="I28" s="906"/>
      <c r="J28" s="660"/>
      <c r="K28" s="495"/>
      <c r="L28" s="904" t="str">
        <f>'Props &amp; furniture'!M57</f>
        <v>n/a</v>
      </c>
      <c r="M28" s="905"/>
      <c r="N28" s="906"/>
      <c r="O28" s="489"/>
      <c r="P28" s="925" t="s">
        <v>196</v>
      </c>
      <c r="Q28" s="922">
        <f>Travel!K35</f>
        <v>0</v>
      </c>
      <c r="S28" s="449"/>
      <c r="U28" s="897"/>
      <c r="V28" s="897"/>
      <c r="W28" s="663"/>
      <c r="X28" s="653"/>
      <c r="Y28" s="653"/>
      <c r="Z28" s="932"/>
      <c r="AA28" s="932"/>
      <c r="AB28" s="664"/>
      <c r="AC28" s="661"/>
      <c r="AD28" s="932"/>
      <c r="AE28" s="932"/>
      <c r="AF28" s="664"/>
      <c r="AG28" s="645"/>
      <c r="AH28" s="931"/>
    </row>
    <row r="29" spans="2:34" ht="10" customHeight="1">
      <c r="B29" s="936"/>
      <c r="C29" s="937"/>
      <c r="D29" s="937"/>
      <c r="E29" s="938"/>
      <c r="F29" s="489"/>
      <c r="G29" s="907"/>
      <c r="H29" s="908"/>
      <c r="I29" s="909"/>
      <c r="J29" s="660"/>
      <c r="K29" s="495"/>
      <c r="L29" s="907"/>
      <c r="M29" s="908"/>
      <c r="N29" s="909"/>
      <c r="O29" s="489"/>
      <c r="P29" s="925"/>
      <c r="Q29" s="923"/>
      <c r="S29" s="449"/>
      <c r="U29" s="652"/>
      <c r="V29" s="653"/>
      <c r="W29" s="652"/>
      <c r="X29" s="653"/>
      <c r="Y29" s="653"/>
      <c r="Z29" s="680"/>
      <c r="AA29" s="680"/>
      <c r="AB29" s="681"/>
      <c r="AC29" s="661"/>
      <c r="AD29" s="680"/>
      <c r="AE29" s="680"/>
      <c r="AF29" s="681"/>
      <c r="AG29" s="645"/>
      <c r="AH29" s="645"/>
    </row>
    <row r="30" spans="2:34" ht="10" customHeight="1">
      <c r="B30" s="936"/>
      <c r="C30" s="937"/>
      <c r="D30" s="937"/>
      <c r="E30" s="938"/>
      <c r="F30" s="489"/>
      <c r="G30" s="907"/>
      <c r="H30" s="908"/>
      <c r="I30" s="909"/>
      <c r="J30" s="660"/>
      <c r="K30" s="495"/>
      <c r="L30" s="907"/>
      <c r="M30" s="908"/>
      <c r="N30" s="909"/>
      <c r="O30" s="489"/>
      <c r="P30" s="925"/>
      <c r="Q30" s="923"/>
      <c r="S30" s="449"/>
      <c r="U30" s="682"/>
      <c r="V30" s="645"/>
      <c r="W30" s="645"/>
      <c r="X30" s="645"/>
      <c r="Y30" s="645"/>
      <c r="Z30" s="645"/>
      <c r="AA30" s="645"/>
      <c r="AB30" s="645"/>
      <c r="AC30" s="645"/>
      <c r="AD30" s="645"/>
      <c r="AE30" s="645"/>
      <c r="AF30" s="645"/>
      <c r="AG30" s="645"/>
      <c r="AH30" s="645"/>
    </row>
    <row r="31" spans="2:34" ht="10" customHeight="1" thickBot="1">
      <c r="B31" s="939"/>
      <c r="C31" s="940"/>
      <c r="D31" s="940"/>
      <c r="E31" s="941"/>
      <c r="F31" s="489"/>
      <c r="G31" s="910"/>
      <c r="H31" s="911"/>
      <c r="I31" s="912"/>
      <c r="J31" s="660"/>
      <c r="K31" s="495"/>
      <c r="L31" s="910"/>
      <c r="M31" s="911"/>
      <c r="N31" s="912"/>
      <c r="O31" s="489"/>
      <c r="P31" s="925"/>
      <c r="Q31" s="924"/>
      <c r="S31" s="449"/>
      <c r="U31" s="682"/>
      <c r="V31" s="645"/>
      <c r="W31" s="645"/>
      <c r="X31" s="645"/>
      <c r="Y31" s="645"/>
      <c r="Z31" s="645"/>
      <c r="AA31" s="645"/>
      <c r="AB31" s="645"/>
      <c r="AC31" s="645"/>
      <c r="AD31" s="645"/>
      <c r="AE31" s="645"/>
      <c r="AF31" s="645"/>
      <c r="AG31" s="645"/>
      <c r="AH31" s="645"/>
    </row>
    <row r="32" spans="2:34" ht="16" customHeight="1">
      <c r="B32" s="683"/>
      <c r="C32" s="683"/>
      <c r="D32" s="683"/>
      <c r="E32" s="684"/>
      <c r="F32" s="489"/>
      <c r="G32" s="685"/>
      <c r="H32" s="685"/>
      <c r="I32" s="686"/>
      <c r="J32" s="687"/>
      <c r="K32" s="688"/>
      <c r="L32" s="685"/>
      <c r="M32" s="685"/>
      <c r="N32" s="689"/>
      <c r="O32" s="489"/>
      <c r="P32" s="689"/>
      <c r="Q32" s="679"/>
      <c r="S32" s="449"/>
      <c r="U32" s="926"/>
      <c r="V32" s="926"/>
      <c r="W32" s="926"/>
      <c r="X32" s="926"/>
      <c r="Y32" s="645"/>
      <c r="Z32" s="645"/>
      <c r="AA32" s="645"/>
      <c r="AB32" s="645"/>
      <c r="AC32" s="645"/>
      <c r="AD32" s="645"/>
      <c r="AE32" s="645"/>
      <c r="AF32" s="645"/>
      <c r="AG32" s="645"/>
      <c r="AH32" s="645"/>
    </row>
    <row r="33" spans="2:34" ht="16" hidden="1" customHeight="1">
      <c r="B33" s="955"/>
      <c r="C33" s="956"/>
      <c r="D33" s="956"/>
      <c r="E33" s="957"/>
      <c r="F33" s="489"/>
      <c r="G33" s="913"/>
      <c r="H33" s="914"/>
      <c r="I33" s="915"/>
      <c r="J33" s="687"/>
      <c r="L33" s="913"/>
      <c r="M33" s="914"/>
      <c r="N33" s="915"/>
      <c r="O33" s="489"/>
      <c r="P33" s="689"/>
      <c r="Q33" s="679"/>
      <c r="S33" s="449"/>
      <c r="U33" s="926"/>
      <c r="V33" s="926"/>
      <c r="W33" s="926"/>
      <c r="X33" s="926"/>
      <c r="Y33" s="645"/>
      <c r="Z33" s="645"/>
      <c r="AA33" s="645"/>
      <c r="AB33" s="645"/>
      <c r="AC33" s="645"/>
      <c r="AD33" s="645"/>
      <c r="AE33" s="645"/>
      <c r="AF33" s="645"/>
      <c r="AG33" s="645"/>
      <c r="AH33" s="645"/>
    </row>
    <row r="34" spans="2:34" ht="16" hidden="1" customHeight="1">
      <c r="B34" s="958"/>
      <c r="C34" s="959"/>
      <c r="D34" s="959"/>
      <c r="E34" s="960"/>
      <c r="F34" s="489"/>
      <c r="G34" s="916"/>
      <c r="H34" s="917"/>
      <c r="I34" s="918"/>
      <c r="J34" s="687"/>
      <c r="L34" s="916"/>
      <c r="M34" s="917"/>
      <c r="N34" s="918"/>
      <c r="O34" s="489"/>
      <c r="P34" s="689"/>
      <c r="Q34" s="679"/>
      <c r="S34" s="449"/>
      <c r="U34" s="927"/>
      <c r="V34" s="927"/>
      <c r="W34" s="927"/>
      <c r="X34" s="927"/>
      <c r="Y34" s="645"/>
      <c r="Z34" s="645"/>
      <c r="AA34" s="645"/>
      <c r="AB34" s="645"/>
      <c r="AC34" s="645"/>
      <c r="AD34" s="645"/>
      <c r="AE34" s="645"/>
      <c r="AF34" s="645"/>
      <c r="AG34" s="645"/>
      <c r="AH34" s="645"/>
    </row>
    <row r="35" spans="2:34" ht="16" hidden="1" customHeight="1">
      <c r="B35" s="958"/>
      <c r="C35" s="959"/>
      <c r="D35" s="959"/>
      <c r="E35" s="960"/>
      <c r="F35" s="489"/>
      <c r="G35" s="916"/>
      <c r="H35" s="917"/>
      <c r="I35" s="918"/>
      <c r="J35" s="687"/>
      <c r="L35" s="916"/>
      <c r="M35" s="917"/>
      <c r="N35" s="918"/>
      <c r="O35" s="489"/>
      <c r="P35" s="689"/>
      <c r="Q35" s="679"/>
      <c r="S35" s="449"/>
      <c r="U35" s="926"/>
      <c r="V35" s="926"/>
      <c r="W35" s="926"/>
      <c r="X35" s="926"/>
      <c r="Y35" s="645"/>
      <c r="Z35" s="645"/>
      <c r="AA35" s="645"/>
      <c r="AB35" s="645"/>
      <c r="AC35" s="645"/>
      <c r="AD35" s="645"/>
      <c r="AE35" s="645"/>
      <c r="AF35" s="645"/>
      <c r="AG35" s="645"/>
      <c r="AH35" s="645"/>
    </row>
    <row r="36" spans="2:34" ht="16" hidden="1" customHeight="1" thickBot="1">
      <c r="B36" s="961"/>
      <c r="C36" s="962"/>
      <c r="D36" s="962"/>
      <c r="E36" s="963"/>
      <c r="F36" s="489"/>
      <c r="G36" s="919"/>
      <c r="H36" s="920"/>
      <c r="I36" s="921"/>
      <c r="J36" s="687"/>
      <c r="L36" s="919"/>
      <c r="M36" s="920"/>
      <c r="N36" s="921"/>
      <c r="O36" s="489"/>
      <c r="P36" s="689"/>
      <c r="Q36" s="679"/>
      <c r="S36" s="449"/>
      <c r="U36" s="926"/>
      <c r="V36" s="926"/>
      <c r="W36" s="926"/>
      <c r="X36" s="926"/>
      <c r="Y36" s="645"/>
      <c r="Z36" s="645"/>
      <c r="AA36" s="645"/>
      <c r="AB36" s="645"/>
      <c r="AC36" s="645"/>
      <c r="AD36" s="645"/>
      <c r="AE36" s="645"/>
      <c r="AF36" s="645"/>
      <c r="AG36" s="645"/>
      <c r="AH36" s="645"/>
    </row>
    <row r="37" spans="2:34" ht="16" hidden="1" customHeight="1" thickBot="1">
      <c r="B37" s="683"/>
      <c r="C37" s="683"/>
      <c r="D37" s="683"/>
      <c r="E37" s="684"/>
      <c r="F37" s="489"/>
      <c r="G37" s="685"/>
      <c r="H37" s="685"/>
      <c r="I37" s="686"/>
      <c r="J37" s="687"/>
      <c r="K37" s="690"/>
      <c r="L37" s="691"/>
      <c r="M37" s="691"/>
      <c r="N37" s="689"/>
      <c r="O37" s="489"/>
      <c r="P37" s="689"/>
      <c r="Q37" s="679"/>
      <c r="S37" s="449"/>
    </row>
    <row r="38" spans="2:34" ht="16" hidden="1" customHeight="1">
      <c r="B38" s="955"/>
      <c r="C38" s="956"/>
      <c r="D38" s="956"/>
      <c r="E38" s="957"/>
      <c r="F38" s="489"/>
      <c r="G38" s="913"/>
      <c r="H38" s="914"/>
      <c r="I38" s="915"/>
      <c r="J38" s="687"/>
      <c r="L38" s="692"/>
      <c r="M38" s="693"/>
      <c r="N38" s="694"/>
      <c r="O38" s="489"/>
      <c r="P38" s="689"/>
      <c r="Q38" s="679"/>
      <c r="S38" s="449"/>
    </row>
    <row r="39" spans="2:34" ht="16" hidden="1" customHeight="1">
      <c r="B39" s="958"/>
      <c r="C39" s="959"/>
      <c r="D39" s="959"/>
      <c r="E39" s="960"/>
      <c r="F39" s="489"/>
      <c r="G39" s="916"/>
      <c r="H39" s="917"/>
      <c r="I39" s="918"/>
      <c r="J39" s="687"/>
      <c r="L39" s="695"/>
      <c r="M39" s="691"/>
      <c r="N39" s="696"/>
      <c r="O39" s="489"/>
      <c r="P39" s="689"/>
      <c r="Q39" s="679"/>
      <c r="S39" s="449"/>
    </row>
    <row r="40" spans="2:34" ht="16" hidden="1" customHeight="1">
      <c r="B40" s="958"/>
      <c r="C40" s="959"/>
      <c r="D40" s="959"/>
      <c r="E40" s="960"/>
      <c r="F40" s="489"/>
      <c r="G40" s="916"/>
      <c r="H40" s="917"/>
      <c r="I40" s="918"/>
      <c r="J40" s="687"/>
      <c r="L40" s="695"/>
      <c r="M40" s="691"/>
      <c r="N40" s="696"/>
      <c r="O40" s="489"/>
      <c r="P40" s="689"/>
      <c r="Q40" s="679"/>
      <c r="S40" s="449"/>
    </row>
    <row r="41" spans="2:34" ht="16" hidden="1" customHeight="1" thickBot="1">
      <c r="B41" s="961"/>
      <c r="C41" s="962"/>
      <c r="D41" s="962"/>
      <c r="E41" s="963"/>
      <c r="F41" s="489"/>
      <c r="G41" s="916"/>
      <c r="H41" s="917"/>
      <c r="I41" s="918"/>
      <c r="J41" s="687"/>
      <c r="L41" s="697"/>
      <c r="M41" s="698"/>
      <c r="N41" s="699"/>
      <c r="O41" s="489"/>
      <c r="P41" s="689"/>
      <c r="Q41" s="679"/>
      <c r="S41" s="449"/>
      <c r="U41" s="608"/>
    </row>
    <row r="42" spans="2:34" ht="16" customHeight="1">
      <c r="B42" s="683"/>
      <c r="C42" s="700"/>
      <c r="D42" s="700"/>
      <c r="E42" s="476" t="s">
        <v>158</v>
      </c>
      <c r="F42" s="489"/>
      <c r="G42" s="701"/>
      <c r="H42" s="701"/>
      <c r="I42" s="702" t="s">
        <v>159</v>
      </c>
      <c r="J42" s="489"/>
      <c r="K42" s="702"/>
      <c r="L42" s="701"/>
      <c r="M42" s="701"/>
      <c r="N42" s="702" t="s">
        <v>159</v>
      </c>
      <c r="O42" s="489"/>
      <c r="P42" s="689"/>
      <c r="Q42" s="679"/>
      <c r="S42" s="449"/>
      <c r="U42" s="703"/>
      <c r="V42" s="703"/>
      <c r="W42" s="703"/>
      <c r="X42" s="703"/>
      <c r="Y42" s="703"/>
    </row>
    <row r="43" spans="2:34" ht="5" customHeight="1" thickBot="1">
      <c r="E43" s="451"/>
      <c r="F43" s="451"/>
      <c r="I43" s="464"/>
      <c r="K43" s="451"/>
      <c r="N43" s="464"/>
      <c r="Q43" s="585"/>
      <c r="S43" s="449"/>
    </row>
    <row r="44" spans="2:34" ht="40" customHeight="1" thickBot="1">
      <c r="B44" s="951" t="s">
        <v>157</v>
      </c>
      <c r="C44" s="951"/>
      <c r="D44" s="951"/>
      <c r="E44" s="716">
        <f>Scenery!E56+Costume!F44+'Props &amp; furniture'!E57</f>
        <v>0</v>
      </c>
      <c r="F44" s="491"/>
      <c r="G44" s="952" t="s">
        <v>25</v>
      </c>
      <c r="H44" s="953"/>
      <c r="I44" s="715">
        <f>IFERROR((REPORT!G18*(Scenery!E56/REPORT!E44))+(REPORT!G23*(Costume!F44/REPORT!E44))+(REPORT!G28*('Props &amp; furniture'!E57/REPORT!E44)),0)</f>
        <v>0</v>
      </c>
      <c r="J44" s="491"/>
      <c r="K44" s="704"/>
      <c r="L44" s="952" t="s">
        <v>26</v>
      </c>
      <c r="M44" s="953"/>
      <c r="N44" s="715">
        <f>IFERROR((REPORT!L18*(Scenery!E56/REPORT!E44))+(REPORT!L23*(Costume!F44/REPORT!E44))+(REPORT!L28*('Props &amp; furniture'!E57/REPORT!E44)),0)</f>
        <v>0</v>
      </c>
      <c r="O44" s="492"/>
      <c r="P44" s="456" t="s">
        <v>634</v>
      </c>
      <c r="Q44" s="714">
        <f>Q18+Q23+Q28</f>
        <v>0</v>
      </c>
      <c r="R44" s="492"/>
      <c r="S44" s="492"/>
    </row>
    <row r="45" spans="2:34" ht="5" customHeight="1">
      <c r="B45" s="495"/>
      <c r="C45" s="451"/>
      <c r="D45" s="451"/>
      <c r="E45" s="451"/>
      <c r="F45" s="451"/>
      <c r="G45" s="451"/>
      <c r="H45" s="451"/>
      <c r="I45" s="451"/>
      <c r="J45" s="451"/>
      <c r="K45" s="451"/>
      <c r="L45" s="451"/>
      <c r="M45" s="451"/>
      <c r="N45" s="451"/>
      <c r="O45" s="451"/>
      <c r="P45" s="451"/>
      <c r="Q45" s="451"/>
      <c r="R45" s="451"/>
    </row>
    <row r="46" spans="2:34" ht="15" customHeight="1">
      <c r="B46" s="896"/>
      <c r="C46" s="954"/>
      <c r="D46" s="954"/>
      <c r="E46" s="954"/>
      <c r="G46" s="817" t="s">
        <v>31</v>
      </c>
      <c r="H46" s="818"/>
      <c r="I46" s="498">
        <v>0.5</v>
      </c>
      <c r="L46" s="822" t="s">
        <v>31</v>
      </c>
      <c r="M46" s="822"/>
      <c r="N46" s="498">
        <v>0.65</v>
      </c>
      <c r="S46" s="449"/>
    </row>
    <row r="47" spans="2:34" ht="15.75" customHeight="1">
      <c r="B47" s="954"/>
      <c r="C47" s="954"/>
      <c r="D47" s="954"/>
      <c r="E47" s="954"/>
      <c r="G47" s="822" t="s">
        <v>33</v>
      </c>
      <c r="H47" s="822"/>
      <c r="I47" s="498">
        <v>0.6</v>
      </c>
      <c r="L47" s="822" t="s">
        <v>33</v>
      </c>
      <c r="M47" s="822"/>
      <c r="N47" s="498">
        <v>0.7</v>
      </c>
      <c r="S47" s="449"/>
      <c r="T47" s="705"/>
    </row>
    <row r="48" spans="2:34" ht="15.75" customHeight="1">
      <c r="B48" s="954"/>
      <c r="C48" s="954"/>
      <c r="D48" s="954"/>
      <c r="E48" s="954"/>
      <c r="G48" s="822" t="s">
        <v>32</v>
      </c>
      <c r="H48" s="822"/>
      <c r="I48" s="498">
        <v>0.75</v>
      </c>
      <c r="L48" s="822" t="s">
        <v>32</v>
      </c>
      <c r="M48" s="822"/>
      <c r="N48" s="498">
        <v>0.8</v>
      </c>
      <c r="S48" s="449"/>
    </row>
    <row r="49" spans="2:19" ht="5" customHeight="1">
      <c r="B49" s="583"/>
      <c r="C49" s="584"/>
      <c r="D49" s="584"/>
      <c r="E49" s="584"/>
      <c r="S49" s="449"/>
    </row>
    <row r="50" spans="2:19" ht="6" customHeight="1">
      <c r="B50" s="706"/>
      <c r="C50" s="707"/>
      <c r="D50" s="708"/>
      <c r="E50" s="706"/>
      <c r="F50" s="709"/>
      <c r="G50" s="964"/>
      <c r="H50" s="964"/>
      <c r="I50" s="710"/>
      <c r="J50" s="709"/>
      <c r="K50" s="709"/>
      <c r="L50" s="964"/>
      <c r="M50" s="964"/>
      <c r="N50" s="710"/>
      <c r="O50" s="709"/>
      <c r="P50" s="709"/>
      <c r="Q50" s="709"/>
    </row>
    <row r="51" spans="2:19" ht="10" customHeight="1" thickBot="1">
      <c r="B51" s="584"/>
      <c r="C51" s="584"/>
      <c r="D51" s="584"/>
      <c r="E51" s="584"/>
    </row>
    <row r="52" spans="2:19" s="643" customFormat="1" ht="38" customHeight="1" thickBot="1">
      <c r="B52" s="717">
        <f>L4</f>
        <v>0</v>
      </c>
      <c r="C52" s="711" t="s">
        <v>412</v>
      </c>
      <c r="D52" s="712"/>
      <c r="E52" s="713"/>
      <c r="F52" s="456"/>
      <c r="G52" s="456"/>
    </row>
    <row r="53" spans="2:19" ht="60" customHeight="1">
      <c r="B53" s="447" t="s">
        <v>405</v>
      </c>
      <c r="I53" s="447" t="s">
        <v>411</v>
      </c>
    </row>
    <row r="54" spans="2:19" ht="40" customHeight="1">
      <c r="B54" s="950"/>
      <c r="C54" s="950"/>
      <c r="D54" s="950"/>
      <c r="E54" s="950"/>
      <c r="F54" s="950"/>
      <c r="G54" s="950"/>
      <c r="I54" s="950"/>
      <c r="J54" s="950"/>
      <c r="K54" s="950"/>
      <c r="L54" s="950"/>
      <c r="M54" s="950"/>
      <c r="N54" s="950"/>
      <c r="O54" s="950"/>
      <c r="P54" s="950"/>
      <c r="Q54" s="950"/>
    </row>
    <row r="55" spans="2:19" ht="40" customHeight="1">
      <c r="B55" s="950"/>
      <c r="C55" s="950"/>
      <c r="D55" s="950"/>
      <c r="E55" s="950"/>
      <c r="F55" s="950"/>
      <c r="G55" s="950"/>
      <c r="I55" s="950"/>
      <c r="J55" s="950"/>
      <c r="K55" s="950"/>
      <c r="L55" s="950"/>
      <c r="M55" s="950"/>
      <c r="N55" s="950"/>
      <c r="O55" s="950"/>
      <c r="P55" s="950"/>
      <c r="Q55" s="950"/>
    </row>
    <row r="56" spans="2:19" ht="40" customHeight="1">
      <c r="B56" s="950"/>
      <c r="C56" s="950"/>
      <c r="D56" s="950"/>
      <c r="E56" s="950"/>
      <c r="F56" s="950"/>
      <c r="G56" s="950"/>
      <c r="I56" s="950"/>
      <c r="J56" s="950"/>
      <c r="K56" s="950"/>
      <c r="L56" s="950"/>
      <c r="M56" s="950"/>
      <c r="N56" s="950"/>
      <c r="O56" s="950"/>
      <c r="P56" s="950"/>
      <c r="Q56" s="950"/>
    </row>
    <row r="57" spans="2:19" ht="40" customHeight="1">
      <c r="B57" s="950"/>
      <c r="C57" s="950"/>
      <c r="D57" s="950"/>
      <c r="E57" s="950"/>
      <c r="F57" s="950"/>
      <c r="G57" s="950"/>
      <c r="I57" s="950"/>
      <c r="J57" s="950"/>
      <c r="K57" s="950"/>
      <c r="L57" s="950"/>
      <c r="M57" s="950"/>
      <c r="N57" s="950"/>
      <c r="O57" s="950"/>
      <c r="P57" s="950"/>
      <c r="Q57" s="950"/>
    </row>
    <row r="58" spans="2:19" ht="40" customHeight="1">
      <c r="B58" s="950"/>
      <c r="C58" s="950"/>
      <c r="D58" s="950"/>
      <c r="E58" s="950"/>
      <c r="F58" s="950"/>
      <c r="G58" s="950"/>
      <c r="I58" s="950"/>
      <c r="J58" s="950"/>
      <c r="K58" s="950"/>
      <c r="L58" s="950"/>
      <c r="M58" s="950"/>
      <c r="N58" s="950"/>
      <c r="O58" s="950"/>
      <c r="P58" s="950"/>
      <c r="Q58" s="950"/>
    </row>
    <row r="59" spans="2:19" ht="40" customHeight="1">
      <c r="B59" s="950"/>
      <c r="C59" s="950"/>
      <c r="D59" s="950"/>
      <c r="E59" s="950"/>
      <c r="F59" s="950"/>
      <c r="G59" s="950"/>
      <c r="I59" s="950"/>
      <c r="J59" s="950"/>
      <c r="K59" s="950"/>
      <c r="L59" s="950"/>
      <c r="M59" s="950"/>
      <c r="N59" s="950"/>
      <c r="O59" s="950"/>
      <c r="P59" s="950"/>
      <c r="Q59" s="950"/>
    </row>
    <row r="60" spans="2:19" ht="40" customHeight="1">
      <c r="B60" s="950"/>
      <c r="C60" s="950"/>
      <c r="D60" s="950"/>
      <c r="E60" s="950"/>
      <c r="F60" s="950"/>
      <c r="G60" s="950"/>
      <c r="I60" s="950"/>
      <c r="J60" s="950"/>
      <c r="K60" s="950"/>
      <c r="L60" s="950"/>
      <c r="M60" s="950"/>
      <c r="N60" s="950"/>
      <c r="O60" s="950"/>
      <c r="P60" s="950"/>
      <c r="Q60" s="950"/>
    </row>
    <row r="61" spans="2:19" ht="40" customHeight="1">
      <c r="B61" s="950"/>
      <c r="C61" s="950"/>
      <c r="D61" s="950"/>
      <c r="E61" s="950"/>
      <c r="F61" s="950"/>
      <c r="G61" s="950"/>
      <c r="I61" s="950"/>
      <c r="J61" s="950"/>
      <c r="K61" s="950"/>
      <c r="L61" s="950"/>
      <c r="M61" s="950"/>
      <c r="N61" s="950"/>
      <c r="O61" s="950"/>
      <c r="P61" s="950"/>
      <c r="Q61" s="950"/>
    </row>
    <row r="62" spans="2:19" ht="40" customHeight="1">
      <c r="B62" s="950"/>
      <c r="C62" s="950"/>
      <c r="D62" s="950"/>
      <c r="E62" s="950"/>
      <c r="F62" s="950"/>
      <c r="G62" s="950"/>
      <c r="I62" s="950"/>
      <c r="J62" s="950"/>
      <c r="K62" s="950"/>
      <c r="L62" s="950"/>
      <c r="M62" s="950"/>
      <c r="N62" s="950"/>
      <c r="O62" s="950"/>
      <c r="P62" s="950"/>
      <c r="Q62" s="950"/>
    </row>
    <row r="63" spans="2:19" ht="40" customHeight="1">
      <c r="B63" s="950"/>
      <c r="C63" s="950"/>
      <c r="D63" s="950"/>
      <c r="E63" s="950"/>
      <c r="F63" s="950"/>
      <c r="G63" s="950"/>
      <c r="I63" s="950"/>
      <c r="J63" s="950"/>
      <c r="K63" s="950"/>
      <c r="L63" s="950"/>
      <c r="M63" s="950"/>
      <c r="N63" s="950"/>
      <c r="O63" s="950"/>
      <c r="P63" s="950"/>
      <c r="Q63" s="950"/>
    </row>
    <row r="66" spans="2:2">
      <c r="B66" s="446" t="s">
        <v>666</v>
      </c>
    </row>
  </sheetData>
  <sheetProtection algorithmName="SHA-512" hashValue="ewWvw1EW1oeKrqT8RMCrhwBy6pO+NbASrK6VQeoK38XCO9oXWckmFcMfYmC63niYC6Nc/N1l+KBFJmWRCQW/Aw==" saltValue="3wJj2cAiDgCgR4YJnMNO5Q==" spinCount="100000" sheet="1" objects="1" scenarios="1"/>
  <mergeCells count="102">
    <mergeCell ref="I55:Q55"/>
    <mergeCell ref="I56:Q56"/>
    <mergeCell ref="I57:Q57"/>
    <mergeCell ref="I58:Q58"/>
    <mergeCell ref="G50:H50"/>
    <mergeCell ref="L50:M50"/>
    <mergeCell ref="I59:Q59"/>
    <mergeCell ref="I60:Q60"/>
    <mergeCell ref="U35:X35"/>
    <mergeCell ref="U36:X36"/>
    <mergeCell ref="I61:Q61"/>
    <mergeCell ref="I62:Q62"/>
    <mergeCell ref="I63:Q63"/>
    <mergeCell ref="B63:G63"/>
    <mergeCell ref="B58:G58"/>
    <mergeCell ref="B59:G59"/>
    <mergeCell ref="B60:G60"/>
    <mergeCell ref="B61:G61"/>
    <mergeCell ref="B62:G62"/>
    <mergeCell ref="L2:Q2"/>
    <mergeCell ref="B54:G54"/>
    <mergeCell ref="B55:G55"/>
    <mergeCell ref="B56:G56"/>
    <mergeCell ref="B57:G57"/>
    <mergeCell ref="B44:D44"/>
    <mergeCell ref="G44:H44"/>
    <mergeCell ref="L44:M44"/>
    <mergeCell ref="B46:E48"/>
    <mergeCell ref="G46:H46"/>
    <mergeCell ref="L46:M46"/>
    <mergeCell ref="G47:H47"/>
    <mergeCell ref="L47:M47"/>
    <mergeCell ref="G48:H48"/>
    <mergeCell ref="L48:M48"/>
    <mergeCell ref="I54:Q54"/>
    <mergeCell ref="B38:E41"/>
    <mergeCell ref="G18:I21"/>
    <mergeCell ref="G23:I26"/>
    <mergeCell ref="G28:I31"/>
    <mergeCell ref="G33:I36"/>
    <mergeCell ref="G38:I41"/>
    <mergeCell ref="B33:E36"/>
    <mergeCell ref="B18:E21"/>
    <mergeCell ref="B23:E26"/>
    <mergeCell ref="B28:E31"/>
    <mergeCell ref="G4:I6"/>
    <mergeCell ref="L4:N6"/>
    <mergeCell ref="B8:E8"/>
    <mergeCell ref="G8:I16"/>
    <mergeCell ref="L8:N16"/>
    <mergeCell ref="B10:E14"/>
    <mergeCell ref="AH19:AH20"/>
    <mergeCell ref="Z18:AA18"/>
    <mergeCell ref="AD18:AE18"/>
    <mergeCell ref="AD19:AE19"/>
    <mergeCell ref="AD20:AE20"/>
    <mergeCell ref="Z17:AA17"/>
    <mergeCell ref="AD17:AE17"/>
    <mergeCell ref="U9:U11"/>
    <mergeCell ref="W9:X9"/>
    <mergeCell ref="W10:X10"/>
    <mergeCell ref="W11:X11"/>
    <mergeCell ref="U13:X13"/>
    <mergeCell ref="Z13:AB13"/>
    <mergeCell ref="Z9:AB11"/>
    <mergeCell ref="AD9:AF11"/>
    <mergeCell ref="AD13:AF13"/>
    <mergeCell ref="Z15:AA15"/>
    <mergeCell ref="AD15:AE15"/>
    <mergeCell ref="Z16:AA16"/>
    <mergeCell ref="AD16:AE16"/>
    <mergeCell ref="AH22:AH23"/>
    <mergeCell ref="AH27:AH28"/>
    <mergeCell ref="AD27:AE27"/>
    <mergeCell ref="Z25:AA25"/>
    <mergeCell ref="AD25:AE25"/>
    <mergeCell ref="Z28:AA28"/>
    <mergeCell ref="AD28:AE28"/>
    <mergeCell ref="AD23:AE23"/>
    <mergeCell ref="AD22:AE22"/>
    <mergeCell ref="Z19:AA19"/>
    <mergeCell ref="Z20:AA20"/>
    <mergeCell ref="Z22:AA22"/>
    <mergeCell ref="Z23:AA23"/>
    <mergeCell ref="Z27:AA27"/>
    <mergeCell ref="U27:V28"/>
    <mergeCell ref="P8:Q16"/>
    <mergeCell ref="L18:N21"/>
    <mergeCell ref="L23:N26"/>
    <mergeCell ref="L28:N31"/>
    <mergeCell ref="L33:N36"/>
    <mergeCell ref="Q18:Q21"/>
    <mergeCell ref="Q23:Q26"/>
    <mergeCell ref="Q28:Q31"/>
    <mergeCell ref="P18:P21"/>
    <mergeCell ref="P23:P26"/>
    <mergeCell ref="P28:P31"/>
    <mergeCell ref="T23:V26"/>
    <mergeCell ref="U32:X32"/>
    <mergeCell ref="U33:X33"/>
    <mergeCell ref="U34:X34"/>
    <mergeCell ref="R20:U21"/>
  </mergeCells>
  <conditionalFormatting sqref="G33 G38">
    <cfRule type="cellIs" dxfId="12" priority="8" operator="greaterThan">
      <formula>0.49</formula>
    </cfRule>
    <cfRule type="cellIs" dxfId="11" priority="9" operator="lessThan">
      <formula>0.5</formula>
    </cfRule>
  </conditionalFormatting>
  <conditionalFormatting sqref="G33:I36 G38">
    <cfRule type="cellIs" dxfId="10" priority="1" operator="equal">
      <formula>0</formula>
    </cfRule>
  </conditionalFormatting>
  <conditionalFormatting sqref="I22 N22 I27 N27 I32 N32 I37 N37:N41">
    <cfRule type="expression" dxfId="9" priority="24">
      <formula>I22=5</formula>
    </cfRule>
    <cfRule type="expression" dxfId="8" priority="25">
      <formula>I22=4</formula>
    </cfRule>
    <cfRule type="expression" dxfId="7" priority="26">
      <formula>I22=3</formula>
    </cfRule>
    <cfRule type="expression" dxfId="6" priority="27">
      <formula>I22=2</formula>
    </cfRule>
    <cfRule type="expression" dxfId="5" priority="28">
      <formula>I22=1</formula>
    </cfRule>
  </conditionalFormatting>
  <conditionalFormatting sqref="P18:Q18 P22:Q23 P27:Q28 P32:Q42">
    <cfRule type="expression" dxfId="4" priority="14">
      <formula>AND(P18&gt;=20,P18&lt;26)</formula>
    </cfRule>
    <cfRule type="expression" dxfId="3" priority="15">
      <formula>AND(P18&gt;=15,P18&lt;20)</formula>
    </cfRule>
    <cfRule type="expression" dxfId="2" priority="16">
      <formula>AND(P18&gt;=10,P18&lt;15)</formula>
    </cfRule>
    <cfRule type="expression" dxfId="1" priority="17">
      <formula>AND(P18&gt;=5,P18&lt;10)</formula>
    </cfRule>
    <cfRule type="expression" dxfId="0" priority="18">
      <formula>AND(P18&gt;=1, P18&lt;5)</formula>
    </cfRule>
  </conditionalFormatting>
  <dataValidations count="1">
    <dataValidation type="list" allowBlank="1" showInputMessage="1" showErrorMessage="1" sqref="I50 N50 E52:G52" xr:uid="{7FEBEE32-CAA3-0D40-B11A-F876BAEC6F88}">
      <formula1>"YES, NO"</formula1>
    </dataValidation>
  </dataValidations>
  <pageMargins left="0.7" right="0.7" top="0.75" bottom="0.75" header="0.3" footer="0.3"/>
  <pageSetup paperSize="9" scale="49" orientation="portrait" horizontalDpi="300" verticalDpi="3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F29E7-7590-46FE-8357-A4407A27E694}">
  <sheetPr>
    <tabColor theme="9" tint="0.59999389629810485"/>
    <pageSetUpPr fitToPage="1"/>
  </sheetPr>
  <dimension ref="B1:W256"/>
  <sheetViews>
    <sheetView showGridLines="0" topLeftCell="A72" zoomScaleNormal="100" zoomScalePageLayoutView="50" workbookViewId="0">
      <selection activeCell="G88" sqref="G88"/>
    </sheetView>
  </sheetViews>
  <sheetFormatPr defaultColWidth="9.1796875" defaultRowHeight="16.5"/>
  <cols>
    <col min="1" max="1" width="9.1796875" style="1"/>
    <col min="2" max="2" width="30.81640625" style="3" customWidth="1"/>
    <col min="3" max="6" width="20.453125" style="1" customWidth="1"/>
    <col min="7" max="7" width="20.453125" style="9" customWidth="1"/>
    <col min="8" max="8" width="16.6328125" style="5" hidden="1" customWidth="1"/>
    <col min="9" max="9" width="15.36328125" style="5" hidden="1" customWidth="1"/>
    <col min="10" max="10" width="10.1796875" style="6" hidden="1" customWidth="1"/>
    <col min="11" max="11" width="11.453125" style="5" hidden="1" customWidth="1"/>
    <col min="12" max="12" width="11" style="7" hidden="1" customWidth="1"/>
    <col min="13" max="13" width="11" style="5" hidden="1" customWidth="1"/>
    <col min="14" max="14" width="11" style="6" hidden="1" customWidth="1"/>
    <col min="15" max="15" width="1.81640625" style="7" hidden="1" customWidth="1"/>
    <col min="16" max="16" width="1.453125" style="12" customWidth="1"/>
    <col min="17" max="19" width="9.1796875" style="1"/>
    <col min="20" max="20" width="16.36328125" style="1" bestFit="1" customWidth="1"/>
    <col min="21" max="16384" width="9.1796875" style="1"/>
  </cols>
  <sheetData>
    <row r="1" spans="2:23" customFormat="1" ht="15.5">
      <c r="P1" s="12"/>
    </row>
    <row r="2" spans="2:23" customFormat="1" ht="60" customHeight="1">
      <c r="B2" s="976" t="s">
        <v>155</v>
      </c>
      <c r="C2" s="976"/>
      <c r="D2" s="976"/>
      <c r="E2" s="976"/>
      <c r="F2" s="976"/>
      <c r="G2" s="976"/>
      <c r="H2" s="130"/>
      <c r="I2" s="130"/>
      <c r="J2" s="130"/>
      <c r="K2" s="130"/>
      <c r="L2" s="130"/>
      <c r="M2" s="130"/>
      <c r="N2" s="130"/>
      <c r="O2" s="130"/>
      <c r="P2" s="131"/>
      <c r="Q2" s="130"/>
      <c r="R2" s="132"/>
      <c r="S2" s="132"/>
      <c r="T2" s="134" t="s">
        <v>164</v>
      </c>
      <c r="U2" s="133"/>
      <c r="V2" s="132"/>
      <c r="W2" s="125"/>
    </row>
    <row r="3" spans="2:23" customFormat="1" ht="5" customHeight="1">
      <c r="B3" s="13"/>
      <c r="C3" s="13"/>
      <c r="D3" s="13"/>
      <c r="E3" s="13"/>
      <c r="F3" s="13"/>
      <c r="G3" s="13"/>
      <c r="H3" s="13"/>
      <c r="I3" s="13"/>
      <c r="J3" s="13"/>
      <c r="K3" s="13"/>
      <c r="L3" s="13"/>
      <c r="M3" s="13"/>
      <c r="N3" s="13"/>
      <c r="O3" s="13"/>
      <c r="P3" s="14"/>
      <c r="Q3" s="13"/>
      <c r="R3" s="13"/>
      <c r="S3" s="13"/>
      <c r="T3" s="13"/>
      <c r="U3" s="13"/>
      <c r="V3" s="13"/>
    </row>
    <row r="4" spans="2:23" customFormat="1" ht="18" customHeight="1">
      <c r="B4" s="234" t="s">
        <v>211</v>
      </c>
      <c r="C4" s="237">
        <f>Forestillingstitel</f>
        <v>0</v>
      </c>
      <c r="D4" s="234"/>
      <c r="E4" s="234"/>
      <c r="F4" s="234"/>
      <c r="G4" s="234"/>
      <c r="H4" s="92"/>
      <c r="I4" s="92"/>
      <c r="J4" s="93"/>
      <c r="K4" s="94"/>
      <c r="L4" s="94"/>
      <c r="M4" s="92"/>
      <c r="N4" s="95"/>
      <c r="O4" s="96"/>
      <c r="P4" s="97"/>
      <c r="Q4" s="240"/>
      <c r="R4" s="240" t="s">
        <v>210</v>
      </c>
      <c r="S4" s="240"/>
      <c r="T4" s="966">
        <f>TARGET</f>
        <v>0</v>
      </c>
      <c r="U4" s="966"/>
      <c r="V4" s="966"/>
      <c r="W4" s="240"/>
    </row>
    <row r="5" spans="2:23" customFormat="1" ht="18" customHeight="1">
      <c r="B5" s="234" t="s">
        <v>198</v>
      </c>
      <c r="C5" s="237">
        <f>KUNSTART</f>
        <v>0</v>
      </c>
      <c r="D5" s="234"/>
      <c r="E5" s="234"/>
      <c r="F5" s="234"/>
      <c r="G5" s="234"/>
      <c r="H5" s="92"/>
      <c r="I5" s="92"/>
      <c r="J5" s="93"/>
      <c r="K5" s="94"/>
      <c r="L5" s="94"/>
      <c r="M5" s="92"/>
      <c r="N5" s="95"/>
      <c r="O5" s="96"/>
      <c r="P5" s="97"/>
      <c r="Q5" s="245"/>
      <c r="R5" s="224" t="s">
        <v>34</v>
      </c>
      <c r="S5" s="224"/>
      <c r="T5" s="246"/>
      <c r="U5" s="247"/>
      <c r="V5" s="247"/>
      <c r="W5" s="247"/>
    </row>
    <row r="6" spans="2:23" customFormat="1" ht="18" customHeight="1">
      <c r="B6" s="234" t="s">
        <v>212</v>
      </c>
      <c r="C6" s="237">
        <f>sæson</f>
        <v>0</v>
      </c>
      <c r="D6" s="234"/>
      <c r="E6" s="234"/>
      <c r="F6" s="234"/>
      <c r="G6" s="234"/>
      <c r="H6" s="92"/>
      <c r="I6" s="92"/>
      <c r="J6" s="93"/>
      <c r="K6" s="94"/>
      <c r="L6" s="94"/>
      <c r="M6" s="92"/>
      <c r="N6" s="95"/>
      <c r="O6" s="96"/>
      <c r="P6" s="97"/>
      <c r="Q6" s="966" t="s">
        <v>35</v>
      </c>
      <c r="R6" s="966"/>
      <c r="S6" s="966"/>
      <c r="T6" s="966">
        <f>Produktionsleder</f>
        <v>0</v>
      </c>
      <c r="U6" s="966"/>
      <c r="V6" s="966"/>
      <c r="W6" s="248"/>
    </row>
    <row r="7" spans="2:23" ht="4.5" customHeight="1">
      <c r="B7" s="18"/>
      <c r="C7" s="967"/>
      <c r="D7" s="967"/>
      <c r="E7" s="967"/>
      <c r="F7" s="967"/>
      <c r="G7" s="967"/>
      <c r="H7" s="15"/>
      <c r="I7" s="15"/>
      <c r="J7" s="16"/>
      <c r="K7" s="15"/>
      <c r="L7" s="17"/>
      <c r="M7" s="15"/>
      <c r="N7" s="16"/>
      <c r="O7" s="17"/>
      <c r="P7" s="14"/>
      <c r="Q7" s="13"/>
      <c r="R7" s="13"/>
      <c r="S7" s="13"/>
      <c r="T7" s="13"/>
      <c r="U7" s="13"/>
      <c r="V7" s="13"/>
    </row>
    <row r="8" spans="2:23" ht="4.5" customHeight="1">
      <c r="B8" s="21"/>
      <c r="C8" s="13"/>
      <c r="D8" s="13"/>
      <c r="E8" s="13"/>
      <c r="F8" s="20"/>
      <c r="G8" s="20"/>
      <c r="H8" s="15"/>
      <c r="I8" s="15"/>
      <c r="J8" s="16"/>
      <c r="K8" s="15"/>
      <c r="L8" s="17"/>
      <c r="M8" s="15"/>
      <c r="N8" s="16"/>
      <c r="O8" s="17"/>
      <c r="P8" s="14"/>
      <c r="Q8" s="13"/>
      <c r="R8" s="13"/>
      <c r="S8" s="13"/>
      <c r="T8" s="13"/>
      <c r="U8" s="13"/>
      <c r="V8" s="13"/>
    </row>
    <row r="9" spans="2:23" ht="4.5" customHeight="1">
      <c r="B9" s="21"/>
      <c r="C9" s="13"/>
      <c r="D9" s="13"/>
      <c r="E9" s="13"/>
      <c r="F9" s="13"/>
      <c r="G9" s="22"/>
      <c r="H9" s="15"/>
      <c r="I9" s="15"/>
      <c r="J9" s="16"/>
      <c r="K9" s="15"/>
      <c r="L9" s="17"/>
      <c r="M9" s="15"/>
      <c r="N9" s="16"/>
      <c r="O9" s="17"/>
      <c r="P9" s="14"/>
      <c r="Q9" s="13"/>
      <c r="R9" s="13"/>
      <c r="S9" s="13"/>
      <c r="T9" s="13"/>
      <c r="U9" s="13"/>
      <c r="V9" s="13"/>
    </row>
    <row r="10" spans="2:23">
      <c r="B10" s="21"/>
      <c r="C10" s="13"/>
      <c r="D10" s="13"/>
      <c r="E10" s="13"/>
      <c r="F10" s="13"/>
      <c r="G10" s="22"/>
      <c r="H10" s="15"/>
      <c r="I10" s="15"/>
      <c r="J10" s="16"/>
      <c r="K10" s="15"/>
      <c r="L10" s="17"/>
      <c r="M10" s="15"/>
      <c r="N10" s="16"/>
      <c r="O10" s="17"/>
      <c r="P10" s="14"/>
      <c r="Q10" s="13"/>
      <c r="R10" s="13"/>
      <c r="S10" s="13"/>
      <c r="T10" s="13"/>
      <c r="U10" s="13"/>
      <c r="V10" s="13"/>
    </row>
    <row r="11" spans="2:23">
      <c r="B11" s="21"/>
      <c r="C11" s="13"/>
      <c r="D11" s="13"/>
      <c r="E11" s="13"/>
      <c r="F11" s="13"/>
      <c r="G11" s="22"/>
      <c r="H11" s="15"/>
      <c r="I11" s="15"/>
      <c r="J11" s="16"/>
      <c r="K11" s="15"/>
      <c r="L11" s="17"/>
      <c r="M11" s="15"/>
      <c r="N11" s="16"/>
      <c r="O11" s="17"/>
      <c r="P11" s="14"/>
      <c r="Q11" s="13"/>
      <c r="R11" s="13"/>
      <c r="S11" s="13"/>
      <c r="T11" s="13"/>
      <c r="U11" s="13"/>
      <c r="V11" s="13"/>
    </row>
    <row r="12" spans="2:23">
      <c r="B12" s="21"/>
      <c r="C12" s="13"/>
      <c r="D12" s="13"/>
      <c r="E12" s="13"/>
      <c r="F12" s="13"/>
      <c r="G12" s="22"/>
      <c r="H12" s="15"/>
      <c r="I12" s="15"/>
      <c r="J12" s="16"/>
      <c r="K12" s="15"/>
      <c r="L12" s="17"/>
      <c r="M12" s="15"/>
      <c r="N12" s="16"/>
      <c r="O12" s="17"/>
      <c r="P12" s="14"/>
      <c r="Q12" s="13"/>
      <c r="R12" s="13"/>
      <c r="S12" s="13"/>
      <c r="T12" s="13"/>
      <c r="U12" s="13"/>
      <c r="V12" s="13"/>
    </row>
    <row r="13" spans="2:23">
      <c r="B13" s="21"/>
      <c r="C13" s="13"/>
      <c r="D13" s="13"/>
      <c r="E13" s="13"/>
      <c r="F13" s="13"/>
      <c r="G13" s="22"/>
      <c r="H13" s="15"/>
      <c r="I13" s="15"/>
      <c r="J13" s="16"/>
      <c r="K13" s="15"/>
      <c r="L13" s="17"/>
      <c r="M13" s="15"/>
      <c r="N13" s="16"/>
      <c r="O13" s="17"/>
      <c r="P13" s="14"/>
      <c r="Q13" s="13"/>
      <c r="R13" s="13"/>
      <c r="S13" s="13"/>
      <c r="T13" s="13"/>
      <c r="U13" s="13"/>
      <c r="V13" s="13"/>
    </row>
    <row r="14" spans="2:23">
      <c r="B14" s="21"/>
      <c r="C14" s="13"/>
      <c r="D14" s="13"/>
      <c r="E14" s="13"/>
      <c r="F14" s="13"/>
      <c r="G14" s="22"/>
      <c r="H14" s="15"/>
      <c r="I14" s="15"/>
      <c r="J14" s="16"/>
      <c r="K14" s="15"/>
      <c r="L14" s="17"/>
      <c r="M14" s="15"/>
      <c r="N14" s="16"/>
      <c r="O14" s="17"/>
      <c r="P14" s="14"/>
      <c r="Q14" s="13"/>
      <c r="R14" s="13"/>
      <c r="S14" s="13"/>
      <c r="T14" s="13"/>
      <c r="U14" s="13"/>
      <c r="V14" s="13"/>
    </row>
    <row r="15" spans="2:23" ht="16.5" customHeight="1">
      <c r="B15" s="21"/>
      <c r="C15" s="13"/>
      <c r="D15" s="13"/>
      <c r="E15" s="13"/>
      <c r="F15" s="13"/>
      <c r="G15" s="22"/>
      <c r="H15" s="15"/>
      <c r="I15" s="15"/>
      <c r="J15" s="16"/>
      <c r="K15" s="15"/>
      <c r="L15" s="17"/>
      <c r="M15" s="15"/>
      <c r="N15" s="16"/>
      <c r="O15" s="17"/>
      <c r="P15" s="14"/>
      <c r="Q15" s="13"/>
      <c r="R15" s="13"/>
      <c r="S15" s="13"/>
      <c r="T15" s="13"/>
      <c r="U15" s="13"/>
      <c r="V15" s="13"/>
    </row>
    <row r="16" spans="2:23" ht="16.5" customHeight="1">
      <c r="B16" s="21"/>
      <c r="C16" s="13"/>
      <c r="D16" s="13"/>
      <c r="E16" s="13"/>
      <c r="F16" s="13"/>
      <c r="G16" s="22"/>
      <c r="H16" s="15"/>
      <c r="I16" s="15"/>
      <c r="J16" s="16"/>
      <c r="K16" s="15"/>
      <c r="L16" s="17"/>
      <c r="M16" s="15"/>
      <c r="N16" s="16"/>
      <c r="O16" s="17"/>
      <c r="P16" s="14"/>
      <c r="Q16" s="13"/>
      <c r="R16" s="13"/>
      <c r="S16" s="13"/>
      <c r="T16" s="13"/>
      <c r="U16" s="13"/>
      <c r="V16" s="13"/>
    </row>
    <row r="17" spans="2:23">
      <c r="B17" s="21"/>
      <c r="C17" s="13"/>
      <c r="D17" s="13"/>
      <c r="E17" s="13"/>
      <c r="F17" s="13"/>
      <c r="G17" s="22"/>
      <c r="H17" s="15"/>
      <c r="I17" s="15"/>
      <c r="J17" s="16"/>
      <c r="K17" s="15"/>
      <c r="L17" s="17"/>
      <c r="M17" s="15"/>
      <c r="N17" s="16"/>
      <c r="O17" s="17"/>
      <c r="P17" s="14"/>
      <c r="Q17" s="13"/>
      <c r="R17" s="13"/>
      <c r="S17" s="13"/>
      <c r="T17" s="13"/>
      <c r="U17" s="13"/>
      <c r="V17" s="13"/>
    </row>
    <row r="18" spans="2:23">
      <c r="B18" s="21"/>
      <c r="C18" s="13"/>
      <c r="D18" s="13"/>
      <c r="E18" s="13"/>
      <c r="F18" s="13"/>
      <c r="G18" s="22"/>
      <c r="H18" s="23"/>
      <c r="I18" s="15"/>
      <c r="J18" s="16"/>
      <c r="K18" s="15"/>
      <c r="L18" s="17"/>
      <c r="M18" s="15"/>
      <c r="N18" s="16"/>
      <c r="O18" s="17"/>
      <c r="P18" s="14"/>
      <c r="Q18" s="13"/>
      <c r="R18" s="13"/>
      <c r="S18" s="13"/>
      <c r="T18" s="13"/>
      <c r="U18" s="13"/>
      <c r="V18" s="13"/>
    </row>
    <row r="19" spans="2:23" s="2" customFormat="1">
      <c r="B19" s="24"/>
      <c r="C19" s="70">
        <f>SUM(C27:C47)</f>
        <v>0</v>
      </c>
      <c r="D19" s="71">
        <f>SUM(D27:D47)</f>
        <v>0</v>
      </c>
      <c r="E19" s="72">
        <f>SUM(E27:E47)</f>
        <v>0</v>
      </c>
      <c r="F19" s="73">
        <f>SUM(F27:F47)</f>
        <v>0</v>
      </c>
      <c r="G19" s="74">
        <f>SUM(G27:G47)</f>
        <v>0</v>
      </c>
      <c r="H19" s="23"/>
      <c r="I19" s="25"/>
      <c r="J19" s="26"/>
      <c r="K19" s="27"/>
      <c r="L19" s="27"/>
      <c r="M19" s="27"/>
      <c r="N19" s="27"/>
      <c r="O19" s="27"/>
      <c r="P19" s="14"/>
      <c r="Q19" s="28"/>
      <c r="R19" s="28"/>
      <c r="S19" s="28"/>
      <c r="T19" s="28"/>
      <c r="U19" s="28"/>
      <c r="V19" s="28"/>
    </row>
    <row r="20" spans="2:23" ht="5.25" customHeight="1">
      <c r="B20" s="21"/>
      <c r="C20" s="13"/>
      <c r="D20" s="13"/>
      <c r="E20" s="13"/>
      <c r="F20" s="13"/>
      <c r="G20" s="15"/>
      <c r="H20" s="15"/>
      <c r="I20" s="15"/>
      <c r="J20" s="16"/>
      <c r="K20" s="15"/>
      <c r="L20" s="17"/>
      <c r="M20" s="15"/>
      <c r="N20" s="16"/>
      <c r="O20" s="17"/>
      <c r="P20" s="14"/>
      <c r="Q20" s="13"/>
      <c r="R20" s="13"/>
      <c r="S20" s="13"/>
      <c r="T20" s="13"/>
      <c r="U20" s="13"/>
      <c r="V20" s="13"/>
    </row>
    <row r="21" spans="2:23" s="4" customFormat="1" ht="26">
      <c r="B21" s="75" t="s">
        <v>36</v>
      </c>
      <c r="C21" s="76" t="s">
        <v>369</v>
      </c>
      <c r="D21" s="76" t="s">
        <v>359</v>
      </c>
      <c r="E21" s="76" t="s">
        <v>354</v>
      </c>
      <c r="F21" s="76" t="s">
        <v>355</v>
      </c>
      <c r="G21" s="76" t="s">
        <v>356</v>
      </c>
      <c r="H21" s="29"/>
      <c r="I21" s="29"/>
      <c r="J21" s="30"/>
      <c r="K21" s="29"/>
      <c r="L21" s="31"/>
      <c r="M21" s="29"/>
      <c r="N21" s="30"/>
      <c r="O21" s="31"/>
      <c r="P21" s="14"/>
      <c r="Q21" s="32"/>
      <c r="R21" s="32"/>
      <c r="S21" s="32"/>
      <c r="T21" s="32"/>
      <c r="U21" s="32"/>
      <c r="V21" s="32"/>
    </row>
    <row r="22" spans="2:23" s="3" customFormat="1">
      <c r="B22" s="63"/>
      <c r="C22" s="968" t="s">
        <v>38</v>
      </c>
      <c r="D22" s="968" t="s">
        <v>39</v>
      </c>
      <c r="E22" s="968" t="s">
        <v>40</v>
      </c>
      <c r="F22" s="968" t="s">
        <v>41</v>
      </c>
      <c r="G22" s="968" t="s">
        <v>42</v>
      </c>
      <c r="H22" s="15"/>
      <c r="I22" s="15"/>
      <c r="J22" s="16"/>
      <c r="K22" s="15"/>
      <c r="L22" s="17"/>
      <c r="M22" s="15"/>
      <c r="N22" s="16"/>
      <c r="O22" s="17"/>
      <c r="P22" s="14"/>
      <c r="Q22" s="21"/>
      <c r="R22" s="21"/>
      <c r="S22" s="21"/>
      <c r="T22" s="21"/>
      <c r="U22" s="21"/>
      <c r="V22" s="21"/>
    </row>
    <row r="23" spans="2:23" s="3" customFormat="1">
      <c r="B23" s="63"/>
      <c r="C23" s="971"/>
      <c r="D23" s="971"/>
      <c r="E23" s="969"/>
      <c r="F23" s="969"/>
      <c r="G23" s="969"/>
      <c r="H23" s="15"/>
      <c r="I23" s="15"/>
      <c r="J23" s="16"/>
      <c r="K23" s="15"/>
      <c r="L23" s="17"/>
      <c r="M23" s="15"/>
      <c r="N23" s="16"/>
      <c r="O23" s="17"/>
      <c r="P23" s="14"/>
      <c r="Q23" s="21"/>
      <c r="R23" s="21"/>
      <c r="S23" s="21"/>
      <c r="T23" s="21"/>
      <c r="U23" s="21"/>
      <c r="V23" s="21"/>
    </row>
    <row r="24" spans="2:23" s="3" customFormat="1" ht="16.5" customHeight="1" thickBot="1">
      <c r="B24" s="63"/>
      <c r="C24" s="971"/>
      <c r="D24" s="971"/>
      <c r="E24" s="969"/>
      <c r="F24" s="969"/>
      <c r="G24" s="969"/>
      <c r="H24" s="15"/>
      <c r="I24" s="15"/>
      <c r="J24" s="16"/>
      <c r="K24" s="15"/>
      <c r="L24" s="17"/>
      <c r="M24" s="15"/>
      <c r="N24" s="16"/>
      <c r="O24" s="17"/>
      <c r="P24" s="14"/>
      <c r="Q24" s="21"/>
      <c r="R24" s="21"/>
      <c r="S24" s="21"/>
      <c r="T24" s="21"/>
      <c r="U24" s="21"/>
      <c r="V24" s="21"/>
    </row>
    <row r="25" spans="2:23" s="3" customFormat="1" ht="24" customHeight="1" thickBot="1">
      <c r="B25" s="63"/>
      <c r="C25" s="972"/>
      <c r="D25" s="972"/>
      <c r="E25" s="970"/>
      <c r="F25" s="970"/>
      <c r="G25" s="970"/>
      <c r="H25" s="973" t="s">
        <v>11</v>
      </c>
      <c r="I25" s="974"/>
      <c r="J25" s="974"/>
      <c r="K25" s="974"/>
      <c r="L25" s="974"/>
      <c r="M25" s="974"/>
      <c r="N25" s="974"/>
      <c r="O25" s="975"/>
      <c r="P25" s="14"/>
      <c r="Q25" s="21"/>
      <c r="R25" s="21"/>
      <c r="S25" s="21"/>
      <c r="T25" s="21"/>
      <c r="U25" s="21"/>
      <c r="V25" s="21"/>
    </row>
    <row r="26" spans="2:23" s="3" customFormat="1">
      <c r="B26" s="21"/>
      <c r="C26" s="33"/>
      <c r="D26" s="33"/>
      <c r="E26" s="33"/>
      <c r="F26" s="33"/>
      <c r="G26" s="34"/>
      <c r="H26" s="981" t="s">
        <v>4</v>
      </c>
      <c r="I26" s="981"/>
      <c r="J26" s="980" t="s">
        <v>3</v>
      </c>
      <c r="K26" s="981"/>
      <c r="L26" s="981"/>
      <c r="M26" s="977" t="s">
        <v>10</v>
      </c>
      <c r="N26" s="978"/>
      <c r="O26" s="979"/>
      <c r="P26" s="14"/>
      <c r="Q26" s="21"/>
      <c r="R26" s="21"/>
      <c r="S26" s="21"/>
      <c r="T26" s="21"/>
      <c r="U26" s="21"/>
      <c r="V26" s="21"/>
    </row>
    <row r="27" spans="2:23" ht="30" customHeight="1">
      <c r="B27" s="77" t="s">
        <v>43</v>
      </c>
      <c r="C27" s="35"/>
      <c r="D27" s="35"/>
      <c r="E27" s="35"/>
      <c r="F27" s="35"/>
      <c r="G27" s="36"/>
      <c r="H27" s="37" t="s">
        <v>0</v>
      </c>
      <c r="I27" s="37" t="s">
        <v>1</v>
      </c>
      <c r="J27" s="37" t="s">
        <v>8</v>
      </c>
      <c r="K27" s="37" t="s">
        <v>1</v>
      </c>
      <c r="L27" s="38" t="s">
        <v>2</v>
      </c>
      <c r="M27" s="37" t="s">
        <v>5</v>
      </c>
      <c r="N27" s="37" t="s">
        <v>7</v>
      </c>
      <c r="O27" s="38" t="s">
        <v>6</v>
      </c>
      <c r="P27" s="14"/>
      <c r="Q27" s="13"/>
      <c r="R27" s="13"/>
      <c r="S27" s="13"/>
      <c r="T27" s="13"/>
      <c r="U27" s="13"/>
      <c r="V27" s="13"/>
    </row>
    <row r="28" spans="2:23" ht="18.5">
      <c r="B28" s="78" t="s">
        <v>44</v>
      </c>
      <c r="C28" s="40"/>
      <c r="D28" s="40"/>
      <c r="E28" s="40"/>
      <c r="F28" s="40"/>
      <c r="G28" s="41"/>
      <c r="H28" s="42"/>
      <c r="I28" s="42"/>
      <c r="J28" s="43"/>
      <c r="K28" s="42"/>
      <c r="L28" s="44">
        <v>40</v>
      </c>
      <c r="M28" s="42"/>
      <c r="N28" s="43"/>
      <c r="O28" s="44"/>
      <c r="P28" s="14"/>
      <c r="Q28" s="13"/>
      <c r="R28" s="13"/>
      <c r="S28" s="13"/>
      <c r="T28" s="13"/>
      <c r="U28" s="13"/>
      <c r="V28" s="13"/>
    </row>
    <row r="29" spans="2:23">
      <c r="B29" s="51"/>
      <c r="C29" s="40"/>
      <c r="D29" s="40"/>
      <c r="E29" s="40"/>
      <c r="F29" s="49"/>
      <c r="G29" s="41"/>
      <c r="H29" s="42"/>
      <c r="I29" s="42"/>
      <c r="J29" s="43"/>
      <c r="K29" s="42"/>
      <c r="L29" s="44"/>
      <c r="M29" s="42"/>
      <c r="N29" s="43"/>
      <c r="O29" s="44"/>
      <c r="P29" s="14"/>
      <c r="Q29" s="965" t="s">
        <v>186</v>
      </c>
      <c r="R29" s="965"/>
      <c r="S29" s="965"/>
      <c r="T29" s="965"/>
      <c r="U29" s="965"/>
      <c r="V29" s="965"/>
      <c r="W29" s="965"/>
    </row>
    <row r="30" spans="2:23">
      <c r="B30" s="51"/>
      <c r="C30" s="40"/>
      <c r="D30" s="40"/>
      <c r="E30" s="40"/>
      <c r="F30" s="40"/>
      <c r="G30" s="41"/>
      <c r="H30" s="42"/>
      <c r="I30" s="42"/>
      <c r="J30" s="43"/>
      <c r="K30" s="42"/>
      <c r="L30" s="44"/>
      <c r="M30" s="42"/>
      <c r="N30" s="43"/>
      <c r="O30" s="44"/>
      <c r="P30" s="14"/>
      <c r="Q30" s="965"/>
      <c r="R30" s="965"/>
      <c r="S30" s="965"/>
      <c r="T30" s="965"/>
      <c r="U30" s="965"/>
      <c r="V30" s="965"/>
      <c r="W30" s="965"/>
    </row>
    <row r="31" spans="2:23">
      <c r="B31" s="51"/>
      <c r="C31" s="40"/>
      <c r="D31" s="40"/>
      <c r="E31" s="40"/>
      <c r="F31" s="49"/>
      <c r="G31" s="41"/>
      <c r="H31" s="42"/>
      <c r="I31" s="42"/>
      <c r="J31" s="43"/>
      <c r="K31" s="42"/>
      <c r="L31" s="44"/>
      <c r="M31" s="42"/>
      <c r="N31" s="43"/>
      <c r="O31" s="44"/>
      <c r="P31" s="14"/>
      <c r="Q31" s="13"/>
      <c r="R31" s="13"/>
      <c r="S31" s="13"/>
      <c r="T31" s="13"/>
      <c r="U31" s="13"/>
      <c r="V31" s="13"/>
    </row>
    <row r="32" spans="2:23">
      <c r="B32" s="51"/>
      <c r="C32" s="40"/>
      <c r="D32" s="49"/>
      <c r="E32" s="40"/>
      <c r="F32" s="40"/>
      <c r="G32" s="41"/>
      <c r="H32" s="42"/>
      <c r="I32" s="42"/>
      <c r="J32" s="43"/>
      <c r="K32" s="42"/>
      <c r="L32" s="44"/>
      <c r="M32" s="42"/>
      <c r="N32" s="43"/>
      <c r="O32" s="44"/>
      <c r="P32" s="14"/>
      <c r="Q32" s="13"/>
      <c r="R32" s="13"/>
      <c r="S32" s="13"/>
      <c r="T32" s="13"/>
      <c r="U32" s="13"/>
      <c r="V32" s="13"/>
    </row>
    <row r="33" spans="2:22" ht="16.5" customHeight="1">
      <c r="B33" s="39"/>
      <c r="C33" s="40"/>
      <c r="D33" s="40"/>
      <c r="E33" s="40"/>
      <c r="F33" s="40"/>
      <c r="G33" s="41"/>
      <c r="H33" s="42"/>
      <c r="I33" s="42"/>
      <c r="J33" s="43"/>
      <c r="K33" s="42"/>
      <c r="L33" s="44"/>
      <c r="M33" s="42"/>
      <c r="N33" s="43"/>
      <c r="O33" s="44"/>
      <c r="P33" s="14"/>
      <c r="Q33" s="13"/>
      <c r="R33" s="13"/>
      <c r="S33" s="13"/>
      <c r="T33" s="13"/>
      <c r="U33" s="13"/>
      <c r="V33" s="13"/>
    </row>
    <row r="34" spans="2:22" ht="16.5" customHeight="1">
      <c r="B34" s="39"/>
      <c r="C34" s="40"/>
      <c r="D34" s="40"/>
      <c r="E34" s="40"/>
      <c r="F34" s="40"/>
      <c r="G34" s="41"/>
      <c r="H34" s="42"/>
      <c r="I34" s="45"/>
      <c r="J34" s="43"/>
      <c r="K34" s="42"/>
      <c r="L34" s="44"/>
      <c r="M34" s="42"/>
      <c r="N34" s="43"/>
      <c r="O34" s="44"/>
      <c r="P34" s="14"/>
      <c r="Q34" s="13"/>
      <c r="R34" s="13"/>
      <c r="S34" s="13"/>
      <c r="T34" s="13"/>
      <c r="U34" s="13"/>
      <c r="V34" s="13"/>
    </row>
    <row r="35" spans="2:22">
      <c r="B35" s="39"/>
      <c r="C35" s="40"/>
      <c r="D35" s="40"/>
      <c r="E35" s="40"/>
      <c r="F35" s="40"/>
      <c r="G35" s="41"/>
      <c r="H35" s="42"/>
      <c r="I35" s="42"/>
      <c r="J35" s="43"/>
      <c r="K35" s="42"/>
      <c r="L35" s="44"/>
      <c r="M35" s="42"/>
      <c r="N35" s="43" t="s">
        <v>9</v>
      </c>
      <c r="O35" s="44"/>
      <c r="P35" s="14"/>
      <c r="Q35" s="13"/>
      <c r="R35" s="13"/>
      <c r="S35" s="13"/>
      <c r="T35" s="13"/>
      <c r="U35" s="13"/>
      <c r="V35" s="13"/>
    </row>
    <row r="36" spans="2:22">
      <c r="B36" s="39"/>
      <c r="C36" s="40"/>
      <c r="D36" s="40"/>
      <c r="E36" s="40"/>
      <c r="F36" s="40"/>
      <c r="G36" s="41"/>
      <c r="H36" s="42"/>
      <c r="I36" s="42"/>
      <c r="J36" s="43"/>
      <c r="K36" s="42"/>
      <c r="L36" s="44">
        <v>6</v>
      </c>
      <c r="M36" s="42"/>
      <c r="N36" s="43"/>
      <c r="O36" s="44">
        <v>6</v>
      </c>
      <c r="P36" s="14"/>
      <c r="Q36" s="13"/>
      <c r="R36" s="13"/>
      <c r="S36" s="13"/>
      <c r="T36" s="13"/>
      <c r="U36" s="13"/>
      <c r="V36" s="13"/>
    </row>
    <row r="37" spans="2:22">
      <c r="B37" s="39"/>
      <c r="C37" s="40"/>
      <c r="D37" s="40"/>
      <c r="E37" s="40"/>
      <c r="F37" s="40"/>
      <c r="G37" s="41"/>
      <c r="H37" s="42"/>
      <c r="I37" s="42"/>
      <c r="J37" s="43"/>
      <c r="K37" s="42"/>
      <c r="L37" s="44">
        <v>40</v>
      </c>
      <c r="M37" s="42"/>
      <c r="N37" s="43" t="s">
        <v>9</v>
      </c>
      <c r="O37" s="44"/>
      <c r="P37" s="14"/>
      <c r="Q37" s="13"/>
      <c r="R37" s="13"/>
      <c r="S37" s="46"/>
      <c r="T37" s="46"/>
      <c r="U37" s="13"/>
      <c r="V37" s="13"/>
    </row>
    <row r="38" spans="2:22">
      <c r="B38" s="39"/>
      <c r="C38" s="40"/>
      <c r="D38" s="40"/>
      <c r="E38" s="40"/>
      <c r="F38" s="40"/>
      <c r="G38" s="41"/>
      <c r="H38" s="47"/>
      <c r="I38" s="47"/>
      <c r="J38" s="48"/>
      <c r="K38" s="47"/>
      <c r="L38" s="27"/>
      <c r="M38" s="47"/>
      <c r="N38" s="48"/>
      <c r="O38" s="27"/>
      <c r="P38" s="14"/>
      <c r="Q38" s="13"/>
      <c r="R38" s="13"/>
      <c r="S38" s="13"/>
      <c r="T38" s="13"/>
      <c r="U38" s="13"/>
      <c r="V38" s="13"/>
    </row>
    <row r="39" spans="2:22">
      <c r="B39" s="39"/>
      <c r="C39" s="40"/>
      <c r="D39" s="40"/>
      <c r="E39" s="40"/>
      <c r="F39" s="40"/>
      <c r="G39" s="41"/>
      <c r="H39" s="47"/>
      <c r="I39" s="47"/>
      <c r="J39" s="48"/>
      <c r="K39" s="47"/>
      <c r="L39" s="27"/>
      <c r="M39" s="47"/>
      <c r="N39" s="48"/>
      <c r="O39" s="27"/>
      <c r="P39" s="14"/>
      <c r="Q39" s="13"/>
      <c r="R39" s="13"/>
      <c r="S39" s="13"/>
      <c r="T39" s="13"/>
      <c r="U39" s="13"/>
      <c r="V39" s="13"/>
    </row>
    <row r="40" spans="2:22">
      <c r="B40" s="39"/>
      <c r="C40" s="40"/>
      <c r="D40" s="40"/>
      <c r="E40" s="40"/>
      <c r="F40" s="40"/>
      <c r="G40" s="41"/>
      <c r="H40" s="47"/>
      <c r="I40" s="47"/>
      <c r="J40" s="48"/>
      <c r="K40" s="47"/>
      <c r="L40" s="27"/>
      <c r="M40" s="47"/>
      <c r="N40" s="48"/>
      <c r="O40" s="27"/>
      <c r="P40" s="14"/>
      <c r="Q40" s="13"/>
      <c r="R40" s="13"/>
      <c r="S40" s="13"/>
      <c r="T40" s="13"/>
      <c r="U40" s="13"/>
      <c r="V40" s="13"/>
    </row>
    <row r="41" spans="2:22">
      <c r="B41" s="39"/>
      <c r="C41" s="40"/>
      <c r="D41" s="40"/>
      <c r="E41" s="40"/>
      <c r="F41" s="40"/>
      <c r="G41" s="41"/>
      <c r="H41" s="47"/>
      <c r="I41" s="47"/>
      <c r="J41" s="48"/>
      <c r="K41" s="47"/>
      <c r="L41" s="27"/>
      <c r="M41" s="47"/>
      <c r="N41" s="48"/>
      <c r="O41" s="27"/>
      <c r="P41" s="14"/>
      <c r="Q41" s="13"/>
      <c r="R41" s="13"/>
      <c r="S41" s="13"/>
      <c r="T41" s="13"/>
      <c r="U41" s="13"/>
      <c r="V41" s="13"/>
    </row>
    <row r="42" spans="2:22">
      <c r="B42" s="39"/>
      <c r="C42" s="40"/>
      <c r="D42" s="40"/>
      <c r="E42" s="40"/>
      <c r="F42" s="40"/>
      <c r="G42" s="41"/>
      <c r="H42" s="47"/>
      <c r="I42" s="47"/>
      <c r="J42" s="48"/>
      <c r="K42" s="47"/>
      <c r="L42" s="27"/>
      <c r="M42" s="47"/>
      <c r="N42" s="48"/>
      <c r="O42" s="27"/>
      <c r="P42" s="14"/>
      <c r="Q42" s="13"/>
      <c r="R42" s="13"/>
      <c r="S42" s="13"/>
      <c r="T42" s="13"/>
      <c r="U42" s="13"/>
      <c r="V42" s="13"/>
    </row>
    <row r="43" spans="2:22">
      <c r="B43" s="39"/>
      <c r="C43" s="40"/>
      <c r="D43" s="40"/>
      <c r="E43" s="40"/>
      <c r="F43" s="40"/>
      <c r="G43" s="41"/>
      <c r="H43" s="47"/>
      <c r="I43" s="47"/>
      <c r="J43" s="48"/>
      <c r="K43" s="47"/>
      <c r="L43" s="27"/>
      <c r="M43" s="47"/>
      <c r="N43" s="48"/>
      <c r="O43" s="27"/>
      <c r="P43" s="14"/>
      <c r="Q43" s="13"/>
      <c r="R43" s="13"/>
      <c r="S43" s="13"/>
      <c r="T43" s="13"/>
      <c r="U43" s="13"/>
      <c r="V43" s="13"/>
    </row>
    <row r="44" spans="2:22">
      <c r="B44" s="39"/>
      <c r="C44" s="40"/>
      <c r="D44" s="40"/>
      <c r="E44" s="40"/>
      <c r="F44" s="40"/>
      <c r="G44" s="41"/>
      <c r="H44" s="47"/>
      <c r="I44" s="47"/>
      <c r="J44" s="48"/>
      <c r="K44" s="47"/>
      <c r="L44" s="27"/>
      <c r="M44" s="47"/>
      <c r="N44" s="48"/>
      <c r="O44" s="27"/>
      <c r="P44" s="14"/>
      <c r="Q44" s="13"/>
      <c r="R44" s="13"/>
      <c r="S44" s="13"/>
      <c r="T44" s="13"/>
      <c r="U44" s="13"/>
      <c r="V44" s="13"/>
    </row>
    <row r="45" spans="2:22">
      <c r="B45" s="39"/>
      <c r="C45" s="49"/>
      <c r="D45" s="49"/>
      <c r="E45" s="49"/>
      <c r="F45" s="49"/>
      <c r="G45" s="50"/>
      <c r="H45" s="47"/>
      <c r="I45" s="47"/>
      <c r="J45" s="48"/>
      <c r="K45" s="47"/>
      <c r="L45" s="27"/>
      <c r="M45" s="47"/>
      <c r="N45" s="48"/>
      <c r="O45" s="27"/>
      <c r="P45" s="14"/>
      <c r="Q45" s="13"/>
      <c r="R45" s="13"/>
      <c r="S45" s="13"/>
      <c r="T45" s="13"/>
      <c r="U45" s="13"/>
      <c r="V45" s="13"/>
    </row>
    <row r="46" spans="2:22">
      <c r="B46" s="39"/>
      <c r="C46" s="49"/>
      <c r="D46" s="49"/>
      <c r="E46" s="49"/>
      <c r="F46" s="49"/>
      <c r="G46" s="50"/>
      <c r="H46" s="47"/>
      <c r="I46" s="47"/>
      <c r="J46" s="48"/>
      <c r="K46" s="47"/>
      <c r="L46" s="27"/>
      <c r="M46" s="47"/>
      <c r="N46" s="48"/>
      <c r="O46" s="27"/>
      <c r="P46" s="14"/>
      <c r="Q46" s="13"/>
      <c r="R46" s="13"/>
      <c r="S46" s="13"/>
      <c r="T46" s="13"/>
      <c r="U46" s="13"/>
      <c r="V46" s="13"/>
    </row>
    <row r="47" spans="2:22">
      <c r="B47" s="39"/>
      <c r="C47" s="49"/>
      <c r="D47" s="49"/>
      <c r="E47" s="49"/>
      <c r="F47" s="49"/>
      <c r="G47" s="50"/>
      <c r="H47" s="47"/>
      <c r="I47" s="47"/>
      <c r="J47" s="48"/>
      <c r="K47" s="47"/>
      <c r="L47" s="27"/>
      <c r="M47" s="47"/>
      <c r="N47" s="48"/>
      <c r="O47" s="27"/>
      <c r="P47" s="14"/>
      <c r="Q47" s="13"/>
      <c r="R47" s="13"/>
      <c r="S47" s="13"/>
      <c r="T47" s="13"/>
      <c r="U47" s="13"/>
      <c r="V47" s="13"/>
    </row>
    <row r="48" spans="2:22">
      <c r="B48" s="39"/>
      <c r="C48" s="49"/>
      <c r="D48" s="49"/>
      <c r="E48" s="49"/>
      <c r="F48" s="49"/>
      <c r="G48" s="50"/>
      <c r="H48" s="47"/>
      <c r="I48" s="47"/>
      <c r="J48" s="48"/>
      <c r="K48" s="47"/>
      <c r="L48" s="27"/>
      <c r="M48" s="47"/>
      <c r="N48" s="48"/>
      <c r="O48" s="27"/>
      <c r="P48" s="14"/>
      <c r="Q48" s="13"/>
      <c r="R48" s="13"/>
      <c r="S48" s="13"/>
      <c r="T48" s="13"/>
      <c r="U48" s="13"/>
      <c r="V48" s="13"/>
    </row>
    <row r="49" spans="2:22">
      <c r="B49" s="21"/>
      <c r="C49" s="19"/>
      <c r="D49" s="19"/>
      <c r="E49" s="19"/>
      <c r="F49" s="19"/>
      <c r="G49" s="36"/>
      <c r="H49" s="15"/>
      <c r="I49" s="15"/>
      <c r="J49" s="16"/>
      <c r="K49" s="15"/>
      <c r="L49" s="17"/>
      <c r="M49" s="15"/>
      <c r="N49" s="16"/>
      <c r="O49" s="17"/>
      <c r="P49" s="14"/>
      <c r="Q49" s="13"/>
      <c r="R49" s="13"/>
      <c r="S49" s="13"/>
      <c r="T49" s="13"/>
      <c r="U49" s="13"/>
      <c r="V49" s="13"/>
    </row>
    <row r="50" spans="2:22" s="53" customFormat="1" ht="23.5">
      <c r="B50" s="238" t="s">
        <v>92</v>
      </c>
      <c r="C50" s="239"/>
      <c r="D50" s="239"/>
      <c r="E50" s="239"/>
      <c r="F50" s="239"/>
      <c r="G50" s="239"/>
      <c r="H50" s="52"/>
      <c r="I50" s="52"/>
      <c r="J50" s="52"/>
      <c r="K50" s="52"/>
      <c r="L50" s="52"/>
      <c r="M50" s="52"/>
      <c r="N50" s="52"/>
      <c r="O50" s="52"/>
      <c r="Q50" s="91" t="s">
        <v>165</v>
      </c>
    </row>
    <row r="51" spans="2:22" s="53" customFormat="1" ht="10" customHeight="1">
      <c r="B51" s="54"/>
    </row>
    <row r="52" spans="2:22" s="53" customFormat="1" ht="18.5">
      <c r="B52" s="226" t="s">
        <v>183</v>
      </c>
      <c r="C52" s="118"/>
      <c r="D52" s="118"/>
      <c r="E52" s="118"/>
    </row>
    <row r="53" spans="2:22" s="53" customFormat="1" ht="15.5">
      <c r="B53" s="55" t="s">
        <v>93</v>
      </c>
      <c r="C53" s="118"/>
      <c r="D53" s="118"/>
      <c r="E53" s="118"/>
    </row>
    <row r="54" spans="2:22" s="53" customFormat="1" ht="15.5">
      <c r="B54" s="118"/>
      <c r="C54" s="59" t="s">
        <v>94</v>
      </c>
      <c r="D54" s="59" t="s">
        <v>95</v>
      </c>
      <c r="E54" s="59" t="s">
        <v>85</v>
      </c>
    </row>
    <row r="55" spans="2:22" s="53" customFormat="1" ht="15.5">
      <c r="B55" s="217" t="s">
        <v>151</v>
      </c>
      <c r="C55" s="218"/>
      <c r="D55" s="219">
        <v>17</v>
      </c>
      <c r="E55" s="208">
        <f t="shared" ref="E55:E68" si="0">D55*C55</f>
        <v>0</v>
      </c>
    </row>
    <row r="56" spans="2:22" s="53" customFormat="1" ht="15.5">
      <c r="B56" s="217" t="s">
        <v>152</v>
      </c>
      <c r="C56" s="218"/>
      <c r="D56" s="219">
        <v>23</v>
      </c>
      <c r="E56" s="208">
        <f t="shared" si="0"/>
        <v>0</v>
      </c>
    </row>
    <row r="57" spans="2:22" s="53" customFormat="1" ht="15.5">
      <c r="B57" s="217" t="s">
        <v>153</v>
      </c>
      <c r="C57" s="218"/>
      <c r="D57" s="219">
        <v>29.5</v>
      </c>
      <c r="E57" s="208">
        <f t="shared" si="0"/>
        <v>0</v>
      </c>
    </row>
    <row r="58" spans="2:22" s="53" customFormat="1" ht="15.5">
      <c r="B58" s="217" t="s">
        <v>149</v>
      </c>
      <c r="C58" s="218"/>
      <c r="D58" s="219">
        <v>41.4</v>
      </c>
      <c r="E58" s="208">
        <f t="shared" si="0"/>
        <v>0</v>
      </c>
    </row>
    <row r="59" spans="2:22" s="53" customFormat="1" ht="15.5">
      <c r="B59" s="217" t="s">
        <v>150</v>
      </c>
      <c r="C59" s="218"/>
      <c r="D59" s="219">
        <v>57.5</v>
      </c>
      <c r="E59" s="208">
        <f t="shared" si="0"/>
        <v>0</v>
      </c>
    </row>
    <row r="60" spans="2:22" s="53" customFormat="1" ht="31">
      <c r="B60" s="217" t="s">
        <v>144</v>
      </c>
      <c r="C60" s="218"/>
      <c r="D60" s="219">
        <v>8.33</v>
      </c>
      <c r="E60" s="208">
        <f t="shared" si="0"/>
        <v>0</v>
      </c>
    </row>
    <row r="61" spans="2:22" s="53" customFormat="1" ht="31">
      <c r="B61" s="217" t="s">
        <v>145</v>
      </c>
      <c r="C61" s="218"/>
      <c r="D61" s="219">
        <v>12.5</v>
      </c>
      <c r="E61" s="208">
        <f t="shared" si="0"/>
        <v>0</v>
      </c>
    </row>
    <row r="62" spans="2:22" s="53" customFormat="1" ht="15.5">
      <c r="B62" s="306" t="s">
        <v>278</v>
      </c>
      <c r="C62" s="218"/>
      <c r="D62" s="219">
        <v>18.75</v>
      </c>
      <c r="E62" s="208">
        <f t="shared" si="0"/>
        <v>0</v>
      </c>
    </row>
    <row r="63" spans="2:22" s="53" customFormat="1" ht="15.5">
      <c r="B63" s="217" t="s">
        <v>146</v>
      </c>
      <c r="C63" s="218"/>
      <c r="D63" s="219">
        <v>25</v>
      </c>
      <c r="E63" s="208">
        <f t="shared" si="0"/>
        <v>0</v>
      </c>
    </row>
    <row r="64" spans="2:22" s="53" customFormat="1" ht="15.5">
      <c r="B64" s="217" t="s">
        <v>147</v>
      </c>
      <c r="C64" s="218"/>
      <c r="D64" s="219">
        <v>37.5</v>
      </c>
      <c r="E64" s="208">
        <f t="shared" si="0"/>
        <v>0</v>
      </c>
    </row>
    <row r="65" spans="2:5" s="53" customFormat="1" ht="15.5">
      <c r="B65" s="306" t="s">
        <v>279</v>
      </c>
      <c r="C65" s="218"/>
      <c r="D65" s="219">
        <v>52.1</v>
      </c>
      <c r="E65" s="208">
        <f t="shared" si="0"/>
        <v>0</v>
      </c>
    </row>
    <row r="66" spans="2:5" s="53" customFormat="1" ht="15.5">
      <c r="B66" s="306" t="s">
        <v>281</v>
      </c>
      <c r="C66" s="218"/>
      <c r="D66" s="219">
        <v>18.75</v>
      </c>
      <c r="E66" s="208">
        <f t="shared" si="0"/>
        <v>0</v>
      </c>
    </row>
    <row r="67" spans="2:5" s="53" customFormat="1" ht="15.5">
      <c r="B67" s="306" t="s">
        <v>282</v>
      </c>
      <c r="C67" s="218"/>
      <c r="D67" s="219">
        <v>58.6</v>
      </c>
      <c r="E67" s="208">
        <f t="shared" si="0"/>
        <v>0</v>
      </c>
    </row>
    <row r="68" spans="2:5" s="53" customFormat="1" ht="15.5">
      <c r="B68" s="306" t="s">
        <v>280</v>
      </c>
      <c r="C68" s="218"/>
      <c r="D68" s="219">
        <v>81.400000000000006</v>
      </c>
      <c r="E68" s="208">
        <f t="shared" si="0"/>
        <v>0</v>
      </c>
    </row>
    <row r="69" spans="2:5" s="53" customFormat="1" ht="31">
      <c r="B69" s="217" t="s">
        <v>148</v>
      </c>
      <c r="C69" s="218"/>
      <c r="D69" s="219">
        <v>26.8</v>
      </c>
      <c r="E69" s="208">
        <f>D69*C69</f>
        <v>0</v>
      </c>
    </row>
    <row r="70" spans="2:5" s="53" customFormat="1" ht="15.5">
      <c r="B70" s="273" t="s">
        <v>283</v>
      </c>
      <c r="C70" s="218"/>
      <c r="D70" s="215">
        <v>7.1</v>
      </c>
      <c r="E70" s="208">
        <f t="shared" ref="E70:E74" si="1">D70*C70</f>
        <v>0</v>
      </c>
    </row>
    <row r="71" spans="2:5" s="53" customFormat="1" ht="15.5">
      <c r="B71" s="273" t="s">
        <v>284</v>
      </c>
      <c r="C71" s="218"/>
      <c r="D71" s="215">
        <v>10.7</v>
      </c>
      <c r="E71" s="208">
        <f t="shared" si="1"/>
        <v>0</v>
      </c>
    </row>
    <row r="72" spans="2:5" s="53" customFormat="1" ht="15.5">
      <c r="B72" s="273" t="s">
        <v>285</v>
      </c>
      <c r="C72" s="218"/>
      <c r="D72" s="220">
        <v>14</v>
      </c>
      <c r="E72" s="208">
        <f t="shared" si="1"/>
        <v>0</v>
      </c>
    </row>
    <row r="73" spans="2:5" s="53" customFormat="1" ht="15.5">
      <c r="B73" s="273" t="s">
        <v>286</v>
      </c>
      <c r="C73" s="218"/>
      <c r="D73" s="215">
        <v>21.4</v>
      </c>
      <c r="E73" s="208">
        <f t="shared" si="1"/>
        <v>0</v>
      </c>
    </row>
    <row r="74" spans="2:5" s="53" customFormat="1" ht="15.5">
      <c r="B74" s="273" t="s">
        <v>287</v>
      </c>
      <c r="C74" s="218"/>
      <c r="D74" s="220">
        <v>26.8</v>
      </c>
      <c r="E74" s="208">
        <f t="shared" si="1"/>
        <v>0</v>
      </c>
    </row>
    <row r="75" spans="2:5" s="53" customFormat="1" ht="15.5">
      <c r="B75" s="118"/>
      <c r="C75" s="222"/>
      <c r="D75" s="118"/>
      <c r="E75" s="118"/>
    </row>
    <row r="76" spans="2:5" s="53" customFormat="1" ht="15.5">
      <c r="B76" s="55" t="s">
        <v>96</v>
      </c>
      <c r="C76" s="222"/>
      <c r="D76" s="118"/>
      <c r="E76" s="118"/>
    </row>
    <row r="77" spans="2:5" s="53" customFormat="1" ht="15.5">
      <c r="B77" s="56" t="s">
        <v>97</v>
      </c>
      <c r="C77" s="56" t="s">
        <v>98</v>
      </c>
      <c r="D77" s="56" t="s">
        <v>99</v>
      </c>
      <c r="E77" s="56" t="s">
        <v>100</v>
      </c>
    </row>
    <row r="78" spans="2:5" s="53" customFormat="1" ht="15.5">
      <c r="B78" s="218"/>
      <c r="C78" s="215">
        <v>50</v>
      </c>
      <c r="D78" s="215">
        <v>25</v>
      </c>
      <c r="E78" s="215">
        <f>B78*C78*D78/1000000000</f>
        <v>0</v>
      </c>
    </row>
    <row r="79" spans="2:5" s="53" customFormat="1" ht="15.5">
      <c r="B79" s="218"/>
      <c r="C79" s="215">
        <v>75</v>
      </c>
      <c r="D79" s="215">
        <v>25</v>
      </c>
      <c r="E79" s="215">
        <f t="shared" ref="E79:E88" si="2">B79*C79*D79/1000000000</f>
        <v>0</v>
      </c>
    </row>
    <row r="80" spans="2:5" s="53" customFormat="1" ht="15.5">
      <c r="B80" s="218"/>
      <c r="C80" s="215">
        <v>150</v>
      </c>
      <c r="D80" s="215">
        <v>25</v>
      </c>
      <c r="E80" s="215">
        <f t="shared" si="2"/>
        <v>0</v>
      </c>
    </row>
    <row r="81" spans="2:18" s="53" customFormat="1" ht="15.5">
      <c r="B81" s="218"/>
      <c r="C81" s="215">
        <v>75</v>
      </c>
      <c r="D81" s="215">
        <v>32</v>
      </c>
      <c r="E81" s="215">
        <f t="shared" si="2"/>
        <v>0</v>
      </c>
    </row>
    <row r="82" spans="2:18" s="53" customFormat="1" ht="15.5">
      <c r="B82" s="218"/>
      <c r="C82" s="215">
        <v>50</v>
      </c>
      <c r="D82" s="215">
        <v>50</v>
      </c>
      <c r="E82" s="215">
        <f t="shared" si="2"/>
        <v>0</v>
      </c>
    </row>
    <row r="83" spans="2:18" s="53" customFormat="1" ht="15.5">
      <c r="B83" s="218"/>
      <c r="C83" s="215">
        <v>75</v>
      </c>
      <c r="D83" s="215">
        <v>50</v>
      </c>
      <c r="E83" s="215">
        <f t="shared" si="2"/>
        <v>0</v>
      </c>
    </row>
    <row r="84" spans="2:18" s="53" customFormat="1" ht="15.5">
      <c r="B84" s="218"/>
      <c r="C84" s="215">
        <v>100</v>
      </c>
      <c r="D84" s="215">
        <v>25</v>
      </c>
      <c r="E84" s="215">
        <f t="shared" si="2"/>
        <v>0</v>
      </c>
    </row>
    <row r="85" spans="2:18" s="53" customFormat="1" ht="15.5">
      <c r="B85" s="218"/>
      <c r="C85" s="218"/>
      <c r="D85" s="218"/>
      <c r="E85" s="215">
        <f t="shared" si="2"/>
        <v>0</v>
      </c>
    </row>
    <row r="86" spans="2:18" s="53" customFormat="1" ht="15.5">
      <c r="B86" s="218"/>
      <c r="C86" s="218"/>
      <c r="D86" s="218"/>
      <c r="E86" s="215">
        <f t="shared" si="2"/>
        <v>0</v>
      </c>
    </row>
    <row r="87" spans="2:18" s="53" customFormat="1" ht="15.5">
      <c r="B87" s="218"/>
      <c r="C87" s="218"/>
      <c r="D87" s="218"/>
      <c r="E87" s="215">
        <f t="shared" si="2"/>
        <v>0</v>
      </c>
    </row>
    <row r="88" spans="2:18" s="53" customFormat="1" ht="15.5">
      <c r="B88" s="218"/>
      <c r="C88" s="218"/>
      <c r="D88" s="218"/>
      <c r="E88" s="215">
        <f t="shared" si="2"/>
        <v>0</v>
      </c>
    </row>
    <row r="89" spans="2:18" s="53" customFormat="1" ht="15.5">
      <c r="B89" s="215"/>
      <c r="C89" s="215"/>
      <c r="D89" s="58" t="s">
        <v>101</v>
      </c>
      <c r="E89" s="221">
        <f>SUM(E78:E88)</f>
        <v>0</v>
      </c>
      <c r="I89" s="60"/>
      <c r="R89" s="57"/>
    </row>
    <row r="90" spans="2:18" s="53" customFormat="1" ht="15.5">
      <c r="B90" s="118"/>
      <c r="C90" s="222"/>
      <c r="D90" s="118"/>
      <c r="E90" s="118"/>
      <c r="I90" s="60"/>
      <c r="R90" s="57"/>
    </row>
    <row r="91" spans="2:18" s="53" customFormat="1" ht="15.5">
      <c r="B91" s="55" t="s">
        <v>104</v>
      </c>
      <c r="C91" s="59" t="s">
        <v>86</v>
      </c>
      <c r="D91" s="59" t="s">
        <v>87</v>
      </c>
      <c r="E91" s="59" t="s">
        <v>85</v>
      </c>
      <c r="I91" s="60"/>
      <c r="R91" s="57"/>
    </row>
    <row r="92" spans="2:18" s="53" customFormat="1" ht="15.5">
      <c r="B92" s="119" t="s">
        <v>88</v>
      </c>
      <c r="C92" s="218"/>
      <c r="D92" s="215">
        <v>400</v>
      </c>
      <c r="E92" s="208">
        <f>D92*C92</f>
        <v>0</v>
      </c>
      <c r="I92" s="60"/>
      <c r="R92" s="57"/>
    </row>
    <row r="93" spans="2:18" s="53" customFormat="1" ht="15.5">
      <c r="B93" s="119" t="s">
        <v>89</v>
      </c>
      <c r="C93" s="218"/>
      <c r="D93" s="215">
        <v>400</v>
      </c>
      <c r="E93" s="208">
        <f>D93*C93</f>
        <v>0</v>
      </c>
    </row>
    <row r="94" spans="2:18" s="53" customFormat="1" ht="15.5">
      <c r="B94" s="119" t="s">
        <v>90</v>
      </c>
      <c r="C94" s="223"/>
      <c r="D94" s="215">
        <v>675</v>
      </c>
      <c r="E94" s="208">
        <f>D94*C94</f>
        <v>0</v>
      </c>
    </row>
    <row r="95" spans="2:18" s="53" customFormat="1" ht="38" customHeight="1">
      <c r="B95" s="119" t="s">
        <v>91</v>
      </c>
      <c r="C95" s="218"/>
      <c r="D95" s="215">
        <v>675</v>
      </c>
      <c r="E95" s="208">
        <f>D95*C95</f>
        <v>0</v>
      </c>
    </row>
    <row r="96" spans="2:18" s="53" customFormat="1" ht="15.5">
      <c r="B96" s="118"/>
      <c r="C96" s="222"/>
      <c r="D96" s="118"/>
      <c r="E96" s="118"/>
    </row>
    <row r="97" spans="2:5" s="53" customFormat="1" ht="15.5">
      <c r="B97" s="55" t="s">
        <v>102</v>
      </c>
      <c r="C97" s="222"/>
      <c r="D97" s="118"/>
      <c r="E97" s="118"/>
    </row>
    <row r="98" spans="2:5" s="53" customFormat="1" ht="16" customHeight="1">
      <c r="B98" s="813" t="s">
        <v>192</v>
      </c>
      <c r="C98" s="795"/>
      <c r="D98" s="813"/>
      <c r="E98" s="813"/>
    </row>
    <row r="99" spans="2:5" s="53" customFormat="1" ht="15.5">
      <c r="B99" s="55"/>
      <c r="C99" s="62" t="s">
        <v>249</v>
      </c>
      <c r="D99" s="56" t="s">
        <v>105</v>
      </c>
      <c r="E99" s="56" t="s">
        <v>85</v>
      </c>
    </row>
    <row r="100" spans="2:5" s="53" customFormat="1" ht="15.5">
      <c r="B100" s="304" t="s">
        <v>256</v>
      </c>
      <c r="C100" s="223"/>
      <c r="D100" s="305">
        <v>4.1500000000000004</v>
      </c>
      <c r="E100" s="208">
        <f>C100*D100</f>
        <v>0</v>
      </c>
    </row>
    <row r="101" spans="2:5" s="53" customFormat="1" ht="15.5">
      <c r="B101" s="304" t="s">
        <v>257</v>
      </c>
      <c r="C101" s="223"/>
      <c r="D101" s="305">
        <v>5.31</v>
      </c>
      <c r="E101" s="208">
        <f t="shared" ref="E101:E121" si="3">C101*D101</f>
        <v>0</v>
      </c>
    </row>
    <row r="102" spans="2:5" s="53" customFormat="1" ht="15.5">
      <c r="B102" s="304" t="s">
        <v>258</v>
      </c>
      <c r="C102" s="223"/>
      <c r="D102" s="305">
        <v>6.83</v>
      </c>
      <c r="E102" s="208">
        <f t="shared" si="3"/>
        <v>0</v>
      </c>
    </row>
    <row r="103" spans="2:5" s="53" customFormat="1" ht="15.5">
      <c r="B103" s="304" t="s">
        <v>259</v>
      </c>
      <c r="C103" s="223"/>
      <c r="D103" s="305">
        <v>10.92</v>
      </c>
      <c r="E103" s="208">
        <f t="shared" si="3"/>
        <v>0</v>
      </c>
    </row>
    <row r="104" spans="2:5" s="53" customFormat="1" ht="15.5">
      <c r="B104" s="304" t="s">
        <v>260</v>
      </c>
      <c r="C104" s="223"/>
      <c r="D104" s="305">
        <v>23.25</v>
      </c>
      <c r="E104" s="208">
        <f t="shared" si="3"/>
        <v>0</v>
      </c>
    </row>
    <row r="105" spans="2:5" s="53" customFormat="1" ht="15.5">
      <c r="B105" s="304" t="s">
        <v>261</v>
      </c>
      <c r="C105" s="223"/>
      <c r="D105" s="305">
        <v>13.85</v>
      </c>
      <c r="E105" s="208">
        <f t="shared" si="3"/>
        <v>0</v>
      </c>
    </row>
    <row r="106" spans="2:5" s="53" customFormat="1" ht="15.5">
      <c r="B106" s="304" t="s">
        <v>262</v>
      </c>
      <c r="C106" s="223"/>
      <c r="D106" s="305">
        <v>26.23</v>
      </c>
      <c r="E106" s="208">
        <f t="shared" si="3"/>
        <v>0</v>
      </c>
    </row>
    <row r="107" spans="2:5" s="53" customFormat="1" ht="15.5">
      <c r="B107" s="304" t="s">
        <v>263</v>
      </c>
      <c r="C107" s="223"/>
      <c r="D107" s="305">
        <v>5.45</v>
      </c>
      <c r="E107" s="208">
        <f t="shared" si="3"/>
        <v>0</v>
      </c>
    </row>
    <row r="108" spans="2:5" s="53" customFormat="1" ht="15.5">
      <c r="B108" s="304" t="s">
        <v>264</v>
      </c>
      <c r="C108" s="223"/>
      <c r="D108" s="225">
        <v>8.24</v>
      </c>
      <c r="E108" s="208">
        <f t="shared" si="3"/>
        <v>0</v>
      </c>
    </row>
    <row r="109" spans="2:5" s="53" customFormat="1" ht="15.5">
      <c r="B109" s="304" t="s">
        <v>265</v>
      </c>
      <c r="C109" s="223"/>
      <c r="D109" s="225">
        <v>10.49</v>
      </c>
      <c r="E109" s="208">
        <f t="shared" si="3"/>
        <v>0</v>
      </c>
    </row>
    <row r="110" spans="2:5" s="53" customFormat="1" ht="15.5">
      <c r="B110" s="304" t="s">
        <v>266</v>
      </c>
      <c r="C110" s="223"/>
      <c r="D110" s="225">
        <v>13.91</v>
      </c>
      <c r="E110" s="208">
        <f t="shared" si="3"/>
        <v>0</v>
      </c>
    </row>
    <row r="111" spans="2:5" s="53" customFormat="1" ht="15.5">
      <c r="B111" s="304" t="s">
        <v>267</v>
      </c>
      <c r="C111" s="223"/>
      <c r="D111" s="225">
        <v>11.59</v>
      </c>
      <c r="E111" s="208">
        <f t="shared" si="3"/>
        <v>0</v>
      </c>
    </row>
    <row r="112" spans="2:5" s="53" customFormat="1" ht="15.5">
      <c r="B112" s="304" t="s">
        <v>268</v>
      </c>
      <c r="C112" s="223"/>
      <c r="D112" s="225">
        <v>21.35</v>
      </c>
      <c r="E112" s="208">
        <f t="shared" si="3"/>
        <v>0</v>
      </c>
    </row>
    <row r="113" spans="2:18" s="53" customFormat="1" ht="15.5">
      <c r="B113" s="304" t="s">
        <v>269</v>
      </c>
      <c r="C113" s="223"/>
      <c r="D113" s="225">
        <v>7.17</v>
      </c>
      <c r="E113" s="208">
        <f t="shared" si="3"/>
        <v>0</v>
      </c>
    </row>
    <row r="114" spans="2:18" customFormat="1" ht="15.5">
      <c r="B114" s="304" t="s">
        <v>270</v>
      </c>
      <c r="C114" s="223"/>
      <c r="D114" s="225">
        <v>11.39</v>
      </c>
      <c r="E114" s="208">
        <f t="shared" si="3"/>
        <v>0</v>
      </c>
      <c r="F114" s="53"/>
      <c r="G114" s="53"/>
      <c r="H114" s="53"/>
      <c r="I114" s="53"/>
      <c r="J114" s="53"/>
      <c r="K114" s="53"/>
      <c r="L114" s="53"/>
      <c r="M114" s="53"/>
      <c r="N114" s="53"/>
      <c r="O114" s="53"/>
      <c r="P114" s="53"/>
      <c r="Q114" s="53"/>
      <c r="R114" s="53"/>
    </row>
    <row r="115" spans="2:18" customFormat="1" ht="15.5">
      <c r="B115" s="304" t="s">
        <v>271</v>
      </c>
      <c r="C115" s="223"/>
      <c r="D115" s="225">
        <v>15.49</v>
      </c>
      <c r="E115" s="208">
        <f t="shared" si="3"/>
        <v>0</v>
      </c>
      <c r="F115" s="53"/>
      <c r="G115" s="53"/>
      <c r="H115" s="53"/>
      <c r="I115" s="53"/>
      <c r="J115" s="53"/>
      <c r="K115" s="53"/>
      <c r="L115" s="53"/>
      <c r="M115" s="53"/>
      <c r="N115" s="53"/>
      <c r="O115" s="53"/>
      <c r="P115" s="53"/>
      <c r="Q115" s="53"/>
      <c r="R115" s="53"/>
    </row>
    <row r="116" spans="2:18" customFormat="1" ht="15.5">
      <c r="B116" s="304" t="s">
        <v>272</v>
      </c>
      <c r="C116" s="223"/>
      <c r="D116" s="225">
        <v>29.25</v>
      </c>
      <c r="E116" s="208">
        <f t="shared" si="3"/>
        <v>0</v>
      </c>
      <c r="F116" s="53"/>
      <c r="G116" s="53"/>
      <c r="H116" s="53"/>
      <c r="I116" s="53"/>
      <c r="J116" s="53"/>
      <c r="K116" s="53"/>
      <c r="L116" s="53"/>
      <c r="M116" s="53"/>
      <c r="N116" s="53"/>
      <c r="O116" s="53"/>
      <c r="P116" s="53"/>
      <c r="Q116" s="53"/>
      <c r="R116" s="53"/>
    </row>
    <row r="117" spans="2:18" customFormat="1" ht="15.5">
      <c r="B117" s="304" t="s">
        <v>273</v>
      </c>
      <c r="C117" s="223"/>
      <c r="D117" s="225">
        <v>10.050000000000001</v>
      </c>
      <c r="E117" s="208">
        <f t="shared" si="3"/>
        <v>0</v>
      </c>
      <c r="F117" s="53"/>
      <c r="G117" s="53"/>
      <c r="H117" s="53"/>
      <c r="I117" s="53"/>
      <c r="J117" s="53"/>
      <c r="K117" s="53"/>
      <c r="L117" s="53"/>
      <c r="M117" s="53"/>
      <c r="N117" s="53"/>
      <c r="O117" s="53"/>
      <c r="P117" s="53"/>
      <c r="Q117" s="53"/>
      <c r="R117" s="53"/>
    </row>
    <row r="118" spans="2:18" customFormat="1" ht="15.5">
      <c r="B118" s="304" t="s">
        <v>274</v>
      </c>
      <c r="C118" s="223"/>
      <c r="D118" s="225">
        <v>15.1</v>
      </c>
      <c r="E118" s="208">
        <f t="shared" si="3"/>
        <v>0</v>
      </c>
      <c r="F118" s="53"/>
      <c r="G118" s="53"/>
      <c r="H118" s="53"/>
      <c r="I118" s="53"/>
      <c r="J118" s="53"/>
      <c r="K118" s="53"/>
      <c r="L118" s="53"/>
      <c r="M118" s="53"/>
      <c r="N118" s="53"/>
      <c r="O118" s="53"/>
      <c r="P118" s="53"/>
      <c r="Q118" s="53"/>
      <c r="R118" s="53"/>
    </row>
    <row r="119" spans="2:18" customFormat="1" ht="15.5">
      <c r="B119" s="304" t="s">
        <v>275</v>
      </c>
      <c r="C119" s="223"/>
      <c r="D119" s="225">
        <v>55.3</v>
      </c>
      <c r="E119" s="208">
        <f t="shared" si="3"/>
        <v>0</v>
      </c>
      <c r="F119" s="53"/>
      <c r="G119" s="53"/>
      <c r="H119" s="53"/>
      <c r="I119" s="53"/>
      <c r="J119" s="53"/>
      <c r="K119" s="53"/>
      <c r="L119" s="53"/>
      <c r="M119" s="53"/>
      <c r="N119" s="53"/>
      <c r="O119" s="53"/>
      <c r="P119" s="53"/>
      <c r="Q119" s="53"/>
      <c r="R119" s="53"/>
    </row>
    <row r="120" spans="2:18" customFormat="1" ht="15.5">
      <c r="B120" s="304" t="s">
        <v>276</v>
      </c>
      <c r="C120" s="223"/>
      <c r="D120" s="225">
        <v>6.59</v>
      </c>
      <c r="E120" s="208">
        <f t="shared" si="3"/>
        <v>0</v>
      </c>
      <c r="F120" s="53"/>
      <c r="G120" s="53"/>
      <c r="H120" s="53"/>
      <c r="I120" s="53"/>
      <c r="J120" s="53"/>
      <c r="K120" s="53"/>
      <c r="L120" s="53"/>
      <c r="M120" s="53"/>
      <c r="N120" s="53"/>
      <c r="O120" s="53"/>
      <c r="P120" s="53"/>
      <c r="Q120" s="53"/>
      <c r="R120" s="53"/>
    </row>
    <row r="121" spans="2:18" customFormat="1" ht="15.5">
      <c r="B121" s="304" t="s">
        <v>277</v>
      </c>
      <c r="C121" s="223"/>
      <c r="D121" s="225">
        <v>30.17</v>
      </c>
      <c r="E121" s="208">
        <f t="shared" si="3"/>
        <v>0</v>
      </c>
      <c r="F121" s="53"/>
      <c r="G121" s="53"/>
      <c r="H121" s="53"/>
      <c r="I121" s="53"/>
      <c r="J121" s="53"/>
      <c r="K121" s="53"/>
      <c r="L121" s="53"/>
      <c r="M121" s="53"/>
      <c r="N121" s="53"/>
      <c r="O121" s="53"/>
      <c r="P121" s="53"/>
      <c r="Q121" s="53"/>
      <c r="R121" s="53"/>
    </row>
    <row r="122" spans="2:18" customFormat="1" ht="15.5">
      <c r="B122" s="118"/>
      <c r="C122" s="222"/>
      <c r="D122" s="58" t="s">
        <v>85</v>
      </c>
      <c r="E122" s="61">
        <f>SUM(E100:E121)</f>
        <v>0</v>
      </c>
      <c r="F122" s="53"/>
      <c r="G122" s="53"/>
      <c r="H122" s="53"/>
      <c r="I122" s="53"/>
      <c r="J122" s="53"/>
      <c r="K122" s="53"/>
      <c r="L122" s="53"/>
      <c r="M122" s="53"/>
      <c r="N122" s="53"/>
      <c r="O122" s="53"/>
      <c r="P122" s="53"/>
      <c r="Q122" s="53"/>
      <c r="R122" s="53"/>
    </row>
    <row r="123" spans="2:18" customFormat="1" ht="15.5">
      <c r="B123" s="118"/>
      <c r="C123" s="222"/>
      <c r="D123" s="118"/>
      <c r="E123" s="118"/>
      <c r="F123" s="53"/>
      <c r="G123" s="53"/>
      <c r="H123" s="53"/>
      <c r="I123" s="53"/>
      <c r="J123" s="53"/>
      <c r="K123" s="53"/>
      <c r="L123" s="53"/>
      <c r="M123" s="53"/>
      <c r="N123" s="53"/>
      <c r="O123" s="53"/>
      <c r="P123" s="53"/>
      <c r="Q123" s="53"/>
      <c r="R123" s="53"/>
    </row>
    <row r="124" spans="2:18" customFormat="1" ht="15.5">
      <c r="B124" s="55" t="s">
        <v>103</v>
      </c>
      <c r="C124" s="222"/>
      <c r="D124" s="118"/>
      <c r="E124" s="118"/>
      <c r="F124" s="53"/>
      <c r="G124" s="53"/>
      <c r="H124" s="53"/>
      <c r="I124" s="53"/>
      <c r="J124" s="53"/>
      <c r="K124" s="53"/>
      <c r="L124" s="53"/>
      <c r="M124" s="53"/>
      <c r="N124" s="53"/>
      <c r="O124" s="53"/>
      <c r="P124" s="53"/>
      <c r="Q124" s="53"/>
      <c r="R124" s="53"/>
    </row>
    <row r="125" spans="2:18" customFormat="1" ht="15.5">
      <c r="B125" s="55"/>
      <c r="C125" s="62" t="s">
        <v>249</v>
      </c>
      <c r="D125" s="56" t="s">
        <v>105</v>
      </c>
      <c r="E125" s="56" t="s">
        <v>85</v>
      </c>
      <c r="F125" s="53"/>
      <c r="G125" s="53"/>
      <c r="H125" s="53"/>
      <c r="I125" s="53"/>
      <c r="J125" s="53"/>
      <c r="K125" s="53"/>
      <c r="L125" s="53"/>
      <c r="M125" s="53"/>
      <c r="N125" s="53"/>
      <c r="O125" s="53"/>
      <c r="P125" s="53"/>
      <c r="Q125" s="53"/>
      <c r="R125" s="53"/>
    </row>
    <row r="126" spans="2:18" customFormat="1" ht="15.5">
      <c r="B126" s="273" t="s">
        <v>253</v>
      </c>
      <c r="C126" s="223"/>
      <c r="D126" s="215">
        <v>1.2</v>
      </c>
      <c r="E126" s="216">
        <f t="shared" ref="E126:E128" si="4">C126*D126</f>
        <v>0</v>
      </c>
      <c r="F126" s="53"/>
      <c r="G126" s="53"/>
      <c r="H126" s="53"/>
      <c r="I126" s="53"/>
      <c r="J126" s="53"/>
      <c r="K126" s="53"/>
      <c r="L126" s="53"/>
      <c r="M126" s="53"/>
      <c r="N126" s="53"/>
      <c r="O126" s="53"/>
      <c r="P126" s="53"/>
      <c r="Q126" s="53"/>
      <c r="R126" s="53"/>
    </row>
    <row r="127" spans="2:18" customFormat="1" ht="15.5">
      <c r="B127" s="273" t="s">
        <v>254</v>
      </c>
      <c r="C127" s="223"/>
      <c r="D127" s="215">
        <v>0.8</v>
      </c>
      <c r="E127" s="216">
        <f t="shared" si="4"/>
        <v>0</v>
      </c>
      <c r="F127" s="53"/>
      <c r="G127" s="53"/>
      <c r="H127" s="53"/>
      <c r="I127" s="53"/>
      <c r="J127" s="53"/>
      <c r="K127" s="53"/>
      <c r="L127" s="53"/>
      <c r="M127" s="53"/>
      <c r="N127" s="53"/>
      <c r="O127" s="53"/>
      <c r="P127" s="53"/>
      <c r="Q127" s="53"/>
      <c r="R127" s="53"/>
    </row>
    <row r="128" spans="2:18" customFormat="1" ht="15.5">
      <c r="B128" s="273" t="s">
        <v>251</v>
      </c>
      <c r="C128" s="223"/>
      <c r="D128" s="215">
        <v>0.87</v>
      </c>
      <c r="E128" s="216">
        <f t="shared" si="4"/>
        <v>0</v>
      </c>
      <c r="F128" s="53"/>
      <c r="G128" s="53"/>
      <c r="H128" s="53"/>
      <c r="I128" s="53"/>
      <c r="J128" s="53"/>
      <c r="K128" s="53"/>
      <c r="L128" s="53"/>
      <c r="M128" s="53"/>
      <c r="N128" s="53"/>
      <c r="O128" s="53"/>
      <c r="P128" s="53"/>
      <c r="Q128" s="53"/>
      <c r="R128" s="53"/>
    </row>
    <row r="129" spans="2:18" customFormat="1" ht="15.5">
      <c r="B129" s="273" t="s">
        <v>250</v>
      </c>
      <c r="C129" s="223"/>
      <c r="D129" s="215">
        <v>0.67</v>
      </c>
      <c r="E129" s="216">
        <f>C129*D129</f>
        <v>0</v>
      </c>
      <c r="F129" s="53"/>
      <c r="G129" s="53"/>
      <c r="H129" s="53"/>
      <c r="I129" s="53"/>
      <c r="J129" s="53"/>
      <c r="K129" s="53"/>
      <c r="L129" s="53"/>
      <c r="M129" s="53"/>
      <c r="N129" s="53"/>
      <c r="O129" s="53"/>
      <c r="P129" s="53"/>
      <c r="Q129" s="53"/>
      <c r="R129" s="53"/>
    </row>
    <row r="130" spans="2:18" customFormat="1" ht="15.5">
      <c r="B130" s="273" t="s">
        <v>252</v>
      </c>
      <c r="C130" s="223"/>
      <c r="D130" s="215">
        <v>0.42</v>
      </c>
      <c r="E130" s="216">
        <f t="shared" ref="E130:E136" si="5">C130*D130</f>
        <v>0</v>
      </c>
      <c r="F130" s="53"/>
      <c r="G130" s="53"/>
      <c r="H130" s="53"/>
      <c r="I130" s="53"/>
      <c r="J130" s="53"/>
      <c r="K130" s="53"/>
      <c r="L130" s="53"/>
      <c r="M130" s="53"/>
      <c r="N130" s="53"/>
      <c r="O130" s="53"/>
      <c r="P130" s="53"/>
      <c r="Q130" s="53"/>
      <c r="R130" s="53"/>
    </row>
    <row r="131" spans="2:18" customFormat="1" ht="15.5">
      <c r="B131" s="273" t="s">
        <v>255</v>
      </c>
      <c r="C131" s="223"/>
      <c r="D131" s="303">
        <f>1.18/4</f>
        <v>0.29499999999999998</v>
      </c>
      <c r="E131" s="216">
        <f t="shared" si="5"/>
        <v>0</v>
      </c>
      <c r="F131" s="53"/>
      <c r="G131" s="53"/>
      <c r="H131" s="53"/>
      <c r="I131" s="53"/>
      <c r="J131" s="53"/>
      <c r="K131" s="53"/>
      <c r="L131" s="53"/>
      <c r="M131" s="53"/>
      <c r="N131" s="53"/>
      <c r="O131" s="53"/>
      <c r="P131" s="53"/>
      <c r="Q131" s="53"/>
      <c r="R131" s="53"/>
    </row>
    <row r="132" spans="2:18" customFormat="1" ht="15.5">
      <c r="B132" s="304" t="s">
        <v>310</v>
      </c>
      <c r="C132" s="223"/>
      <c r="D132" s="307">
        <v>1.73</v>
      </c>
      <c r="E132" s="216">
        <f t="shared" si="5"/>
        <v>0</v>
      </c>
      <c r="F132" s="53"/>
      <c r="G132" s="53"/>
      <c r="H132" s="53"/>
      <c r="I132" s="53"/>
      <c r="J132" s="53"/>
      <c r="K132" s="53"/>
      <c r="L132" s="53"/>
      <c r="M132" s="53"/>
      <c r="N132" s="53"/>
      <c r="O132" s="53"/>
      <c r="P132" s="53"/>
      <c r="Q132" s="53"/>
      <c r="R132" s="53"/>
    </row>
    <row r="133" spans="2:18" customFormat="1" ht="15.5">
      <c r="B133" s="304" t="s">
        <v>306</v>
      </c>
      <c r="C133" s="223"/>
      <c r="D133" s="307">
        <v>2.63</v>
      </c>
      <c r="E133" s="216">
        <f t="shared" si="5"/>
        <v>0</v>
      </c>
      <c r="F133" s="53"/>
      <c r="G133" s="53"/>
      <c r="H133" s="53"/>
      <c r="I133" s="53"/>
      <c r="J133" s="53"/>
      <c r="K133" s="53"/>
      <c r="L133" s="53"/>
      <c r="M133" s="53"/>
      <c r="N133" s="53"/>
      <c r="O133" s="53"/>
      <c r="P133" s="53"/>
      <c r="Q133" s="53"/>
      <c r="R133" s="53"/>
    </row>
    <row r="134" spans="2:18" customFormat="1" ht="15.5">
      <c r="B134" s="304" t="s">
        <v>307</v>
      </c>
      <c r="C134" s="223"/>
      <c r="D134" s="307">
        <v>0.92</v>
      </c>
      <c r="E134" s="216">
        <f t="shared" si="5"/>
        <v>0</v>
      </c>
      <c r="F134" s="11"/>
      <c r="G134" s="11"/>
      <c r="H134" s="11"/>
      <c r="I134" s="11"/>
      <c r="J134" s="11"/>
      <c r="K134" s="11"/>
      <c r="L134" s="11"/>
      <c r="M134" s="11"/>
      <c r="N134" s="11"/>
      <c r="O134" s="11"/>
      <c r="P134" s="11"/>
      <c r="Q134" s="11"/>
      <c r="R134" s="11"/>
    </row>
    <row r="135" spans="2:18">
      <c r="B135" s="304" t="s">
        <v>308</v>
      </c>
      <c r="C135" s="223"/>
      <c r="D135" s="307">
        <v>0.33</v>
      </c>
      <c r="E135" s="216">
        <f t="shared" si="5"/>
        <v>0</v>
      </c>
      <c r="G135" s="10"/>
      <c r="P135" s="11"/>
    </row>
    <row r="136" spans="2:18">
      <c r="B136" s="304" t="s">
        <v>309</v>
      </c>
      <c r="C136" s="223"/>
      <c r="D136" s="307">
        <v>0.44</v>
      </c>
      <c r="E136" s="216">
        <f t="shared" si="5"/>
        <v>0</v>
      </c>
      <c r="G136" s="10"/>
    </row>
    <row r="137" spans="2:18">
      <c r="B137" s="118"/>
      <c r="C137" s="222"/>
      <c r="D137" s="58" t="s">
        <v>85</v>
      </c>
      <c r="E137" s="61">
        <f>SUM(E126:E136)</f>
        <v>0</v>
      </c>
      <c r="G137" s="10"/>
    </row>
    <row r="138" spans="2:18">
      <c r="B138" s="118"/>
      <c r="C138" s="222"/>
      <c r="D138" s="118"/>
      <c r="E138" s="118"/>
      <c r="G138" s="10"/>
    </row>
    <row r="139" spans="2:18">
      <c r="B139" s="118"/>
      <c r="C139" s="222"/>
      <c r="D139" s="118"/>
      <c r="E139" s="118"/>
      <c r="G139" s="10"/>
    </row>
    <row r="140" spans="2:18">
      <c r="B140" s="55" t="s">
        <v>288</v>
      </c>
      <c r="C140" s="222"/>
      <c r="D140" s="118"/>
      <c r="E140" s="118"/>
      <c r="G140" s="10"/>
    </row>
    <row r="141" spans="2:18">
      <c r="B141" s="118"/>
      <c r="C141" s="59" t="s">
        <v>94</v>
      </c>
      <c r="D141" s="59" t="s">
        <v>95</v>
      </c>
      <c r="E141" s="59" t="s">
        <v>85</v>
      </c>
      <c r="G141" s="10"/>
    </row>
    <row r="142" spans="2:18">
      <c r="B142" s="304" t="s">
        <v>289</v>
      </c>
      <c r="C142" s="218"/>
      <c r="D142" s="307">
        <v>16.399999999999999</v>
      </c>
      <c r="E142" s="208">
        <f t="shared" ref="E142:E155" si="6">D142*C142</f>
        <v>0</v>
      </c>
      <c r="G142" s="8"/>
    </row>
    <row r="143" spans="2:18">
      <c r="B143" s="304" t="s">
        <v>290</v>
      </c>
      <c r="C143" s="218"/>
      <c r="D143" s="307">
        <v>21.4</v>
      </c>
      <c r="E143" s="208">
        <f t="shared" si="6"/>
        <v>0</v>
      </c>
      <c r="G143" s="8"/>
    </row>
    <row r="144" spans="2:18">
      <c r="B144" s="304" t="s">
        <v>291</v>
      </c>
      <c r="C144" s="218"/>
      <c r="D144" s="307">
        <v>5</v>
      </c>
      <c r="E144" s="208">
        <f t="shared" si="6"/>
        <v>0</v>
      </c>
      <c r="G144" s="8"/>
    </row>
    <row r="145" spans="2:7">
      <c r="B145" s="304" t="s">
        <v>292</v>
      </c>
      <c r="C145" s="218"/>
      <c r="D145" s="307">
        <v>18.3</v>
      </c>
      <c r="E145" s="208">
        <f t="shared" si="6"/>
        <v>0</v>
      </c>
      <c r="G145" s="8"/>
    </row>
    <row r="146" spans="2:7">
      <c r="B146" s="304" t="s">
        <v>293</v>
      </c>
      <c r="C146" s="218"/>
      <c r="D146" s="307">
        <v>48.8</v>
      </c>
      <c r="E146" s="208">
        <f t="shared" si="6"/>
        <v>0</v>
      </c>
      <c r="G146" s="8"/>
    </row>
    <row r="147" spans="2:7">
      <c r="B147" s="304" t="s">
        <v>294</v>
      </c>
      <c r="C147" s="218"/>
      <c r="D147" s="307">
        <v>60</v>
      </c>
      <c r="E147" s="208">
        <f t="shared" si="6"/>
        <v>0</v>
      </c>
      <c r="G147" s="8"/>
    </row>
    <row r="148" spans="2:7">
      <c r="B148" s="304" t="s">
        <v>295</v>
      </c>
      <c r="C148" s="218"/>
      <c r="D148" s="307">
        <v>10</v>
      </c>
      <c r="E148" s="208">
        <f t="shared" si="6"/>
        <v>0</v>
      </c>
      <c r="G148" s="8"/>
    </row>
    <row r="149" spans="2:7">
      <c r="B149" s="304" t="s">
        <v>296</v>
      </c>
      <c r="C149" s="218"/>
      <c r="D149" s="307">
        <v>1.1100000000000001</v>
      </c>
      <c r="E149" s="208">
        <f t="shared" si="6"/>
        <v>0</v>
      </c>
      <c r="G149" s="8"/>
    </row>
    <row r="150" spans="2:7">
      <c r="B150" s="304" t="s">
        <v>297</v>
      </c>
      <c r="C150" s="218"/>
      <c r="D150" s="307">
        <v>2.23</v>
      </c>
      <c r="E150" s="208">
        <f t="shared" si="6"/>
        <v>0</v>
      </c>
      <c r="G150" s="8"/>
    </row>
    <row r="151" spans="2:7">
      <c r="B151" s="304" t="s">
        <v>298</v>
      </c>
      <c r="C151" s="218"/>
      <c r="D151" s="307">
        <v>3.35</v>
      </c>
      <c r="E151" s="208">
        <f t="shared" si="6"/>
        <v>0</v>
      </c>
      <c r="G151" s="8"/>
    </row>
    <row r="152" spans="2:7">
      <c r="B152" s="304" t="s">
        <v>299</v>
      </c>
      <c r="C152" s="218"/>
      <c r="D152" s="307">
        <v>6.69</v>
      </c>
      <c r="E152" s="208">
        <f t="shared" si="6"/>
        <v>0</v>
      </c>
      <c r="G152" s="8"/>
    </row>
    <row r="153" spans="2:7">
      <c r="B153" s="304" t="s">
        <v>300</v>
      </c>
      <c r="C153" s="218"/>
      <c r="D153" s="307">
        <v>13.38</v>
      </c>
      <c r="E153" s="208">
        <f t="shared" si="6"/>
        <v>0</v>
      </c>
      <c r="G153" s="8"/>
    </row>
    <row r="154" spans="2:7">
      <c r="B154" s="304" t="s">
        <v>301</v>
      </c>
      <c r="C154" s="218"/>
      <c r="D154" s="307">
        <v>0.33</v>
      </c>
      <c r="E154" s="208">
        <f t="shared" si="6"/>
        <v>0</v>
      </c>
      <c r="G154" s="8"/>
    </row>
    <row r="155" spans="2:7">
      <c r="B155" s="304" t="s">
        <v>302</v>
      </c>
      <c r="C155" s="218"/>
      <c r="D155" s="307">
        <v>0.68</v>
      </c>
      <c r="E155" s="208">
        <f t="shared" si="6"/>
        <v>0</v>
      </c>
      <c r="G155" s="8"/>
    </row>
    <row r="156" spans="2:7">
      <c r="B156" s="304" t="s">
        <v>303</v>
      </c>
      <c r="C156" s="218"/>
      <c r="D156" s="307">
        <v>1.35</v>
      </c>
      <c r="E156" s="208">
        <f>D156*C156</f>
        <v>0</v>
      </c>
      <c r="G156" s="8"/>
    </row>
    <row r="157" spans="2:7">
      <c r="B157" s="304" t="s">
        <v>304</v>
      </c>
      <c r="C157" s="218"/>
      <c r="D157" s="307">
        <v>1</v>
      </c>
      <c r="E157" s="208">
        <f t="shared" ref="E157:E158" si="7">D157*C157</f>
        <v>0</v>
      </c>
      <c r="G157" s="8"/>
    </row>
    <row r="158" spans="2:7">
      <c r="B158" s="304" t="s">
        <v>305</v>
      </c>
      <c r="C158" s="218"/>
      <c r="D158" s="307">
        <v>2</v>
      </c>
      <c r="E158" s="208">
        <f t="shared" si="7"/>
        <v>0</v>
      </c>
      <c r="G158" s="8"/>
    </row>
    <row r="159" spans="2:7">
      <c r="B159" s="118"/>
      <c r="C159" s="118"/>
      <c r="D159" s="118"/>
      <c r="E159" s="118"/>
      <c r="G159" s="8"/>
    </row>
    <row r="160" spans="2:7">
      <c r="B160" s="55" t="s">
        <v>137</v>
      </c>
      <c r="C160" s="118"/>
      <c r="D160" s="118"/>
      <c r="E160" s="118"/>
      <c r="G160" s="8"/>
    </row>
    <row r="161" spans="2:18">
      <c r="B161" s="118"/>
      <c r="C161" s="118"/>
      <c r="D161" s="118"/>
      <c r="E161" s="56" t="s">
        <v>85</v>
      </c>
      <c r="G161" s="8"/>
    </row>
    <row r="162" spans="2:18">
      <c r="B162" s="282" t="s">
        <v>138</v>
      </c>
      <c r="C162" s="296" t="s">
        <v>139</v>
      </c>
      <c r="D162" s="202"/>
      <c r="E162" s="208">
        <v>175</v>
      </c>
      <c r="G162" s="8"/>
    </row>
    <row r="163" spans="2:18">
      <c r="B163" s="214"/>
      <c r="C163" s="374" t="s">
        <v>426</v>
      </c>
      <c r="D163" s="375"/>
      <c r="E163" s="376">
        <v>135</v>
      </c>
      <c r="G163" s="8"/>
    </row>
    <row r="164" spans="2:18">
      <c r="B164" s="297" t="s">
        <v>140</v>
      </c>
      <c r="C164" s="289" t="s">
        <v>142</v>
      </c>
      <c r="D164" s="290"/>
      <c r="E164" s="204">
        <v>40</v>
      </c>
      <c r="G164" s="8"/>
    </row>
    <row r="165" spans="2:18">
      <c r="B165" s="214"/>
      <c r="C165" s="291" t="s">
        <v>143</v>
      </c>
      <c r="D165" s="211"/>
      <c r="E165" s="208">
        <v>25</v>
      </c>
      <c r="G165" s="8"/>
    </row>
    <row r="166" spans="2:18">
      <c r="B166" s="297" t="s">
        <v>141</v>
      </c>
      <c r="C166" s="298" t="s">
        <v>246</v>
      </c>
      <c r="D166" s="299"/>
      <c r="E166" s="276">
        <v>75</v>
      </c>
      <c r="G166" s="8"/>
    </row>
    <row r="167" spans="2:18">
      <c r="B167" s="214"/>
      <c r="C167" s="292" t="s">
        <v>247</v>
      </c>
      <c r="D167" s="211"/>
      <c r="E167" s="208">
        <v>20</v>
      </c>
      <c r="G167" s="8"/>
    </row>
    <row r="168" spans="2:18">
      <c r="B168" s="293" t="s">
        <v>242</v>
      </c>
      <c r="C168" s="294" t="s">
        <v>248</v>
      </c>
      <c r="D168" s="295"/>
      <c r="E168" s="208">
        <v>1.5</v>
      </c>
      <c r="G168" s="8"/>
    </row>
    <row r="169" spans="2:18">
      <c r="B169" s="300" t="s">
        <v>221</v>
      </c>
      <c r="C169" s="298" t="s">
        <v>243</v>
      </c>
      <c r="D169" s="299"/>
      <c r="E169" s="276">
        <v>40</v>
      </c>
      <c r="G169" s="8"/>
    </row>
    <row r="170" spans="2:18">
      <c r="B170" s="213"/>
      <c r="C170" s="273" t="s">
        <v>244</v>
      </c>
      <c r="D170" s="206"/>
      <c r="E170" s="208">
        <v>30</v>
      </c>
      <c r="G170" s="8"/>
    </row>
    <row r="171" spans="2:18">
      <c r="B171" s="284"/>
      <c r="C171" s="301" t="s">
        <v>245</v>
      </c>
      <c r="D171" s="302"/>
      <c r="E171" s="276">
        <v>30</v>
      </c>
      <c r="G171" s="8"/>
    </row>
    <row r="172" spans="2:18">
      <c r="G172" s="8"/>
    </row>
    <row r="173" spans="2:18" customFormat="1" ht="15.5">
      <c r="B173" s="55" t="s">
        <v>424</v>
      </c>
      <c r="C173" s="372"/>
      <c r="D173" s="372"/>
      <c r="E173" s="372"/>
      <c r="F173" s="372"/>
      <c r="G173" s="372"/>
      <c r="H173" s="372"/>
      <c r="I173" s="372"/>
      <c r="J173" s="372"/>
      <c r="K173" s="372"/>
      <c r="L173" s="372"/>
      <c r="M173" s="372"/>
      <c r="N173" s="372"/>
      <c r="O173" s="372"/>
      <c r="P173" s="372"/>
      <c r="Q173" s="372"/>
      <c r="R173" s="372"/>
    </row>
    <row r="174" spans="2:18" customFormat="1" ht="10" customHeight="1">
      <c r="B174" s="372"/>
      <c r="C174" s="372"/>
      <c r="D174" s="372"/>
      <c r="E174" s="372"/>
      <c r="F174" s="372"/>
      <c r="G174" s="372"/>
      <c r="H174" s="372"/>
      <c r="I174" s="372"/>
      <c r="J174" s="372"/>
      <c r="K174" s="372"/>
      <c r="L174" s="372"/>
      <c r="M174" s="372"/>
      <c r="N174" s="372"/>
      <c r="O174" s="372"/>
      <c r="P174" s="372"/>
      <c r="Q174" s="372"/>
      <c r="R174" s="372"/>
    </row>
    <row r="175" spans="2:18" customFormat="1" ht="15.5">
      <c r="B175" s="373" t="s">
        <v>425</v>
      </c>
      <c r="C175" s="372"/>
      <c r="D175" s="372"/>
      <c r="E175" s="372"/>
      <c r="F175" s="372"/>
      <c r="G175" s="372"/>
      <c r="H175" s="372"/>
      <c r="I175" s="372"/>
      <c r="J175" s="372"/>
      <c r="K175" s="372"/>
      <c r="L175" s="372"/>
      <c r="M175" s="372"/>
      <c r="N175" s="372"/>
      <c r="O175" s="372"/>
      <c r="P175" s="372"/>
      <c r="Q175" s="372"/>
      <c r="R175" s="372"/>
    </row>
    <row r="176" spans="2:18">
      <c r="G176" s="8"/>
    </row>
    <row r="177" spans="7:7">
      <c r="G177" s="8"/>
    </row>
    <row r="178" spans="7:7">
      <c r="G178" s="8"/>
    </row>
    <row r="179" spans="7:7">
      <c r="G179" s="8"/>
    </row>
    <row r="180" spans="7:7">
      <c r="G180" s="8"/>
    </row>
    <row r="181" spans="7:7">
      <c r="G181" s="8"/>
    </row>
    <row r="182" spans="7:7">
      <c r="G182" s="8"/>
    </row>
    <row r="183" spans="7:7">
      <c r="G183" s="8"/>
    </row>
    <row r="184" spans="7:7">
      <c r="G184" s="8"/>
    </row>
    <row r="185" spans="7:7">
      <c r="G185" s="8"/>
    </row>
    <row r="186" spans="7:7">
      <c r="G186" s="8"/>
    </row>
    <row r="187" spans="7:7">
      <c r="G187" s="8"/>
    </row>
    <row r="188" spans="7:7">
      <c r="G188" s="8"/>
    </row>
    <row r="189" spans="7:7">
      <c r="G189" s="8"/>
    </row>
    <row r="190" spans="7:7">
      <c r="G190" s="8"/>
    </row>
    <row r="191" spans="7:7">
      <c r="G191" s="8"/>
    </row>
    <row r="192" spans="7:7">
      <c r="G192" s="8"/>
    </row>
    <row r="193" spans="7:7">
      <c r="G193" s="8"/>
    </row>
    <row r="194" spans="7:7">
      <c r="G194" s="8"/>
    </row>
    <row r="195" spans="7:7">
      <c r="G195" s="8"/>
    </row>
    <row r="196" spans="7:7">
      <c r="G196" s="8"/>
    </row>
    <row r="197" spans="7:7">
      <c r="G197" s="8"/>
    </row>
    <row r="198" spans="7:7">
      <c r="G198" s="8"/>
    </row>
    <row r="199" spans="7:7">
      <c r="G199" s="8"/>
    </row>
    <row r="200" spans="7:7">
      <c r="G200" s="8"/>
    </row>
    <row r="201" spans="7:7">
      <c r="G201" s="8"/>
    </row>
    <row r="202" spans="7:7">
      <c r="G202" s="8"/>
    </row>
    <row r="203" spans="7:7">
      <c r="G203" s="8"/>
    </row>
    <row r="204" spans="7:7">
      <c r="G204" s="8"/>
    </row>
    <row r="205" spans="7:7">
      <c r="G205" s="8"/>
    </row>
    <row r="206" spans="7:7">
      <c r="G206" s="8"/>
    </row>
    <row r="207" spans="7:7">
      <c r="G207" s="8"/>
    </row>
    <row r="208" spans="7:7">
      <c r="G208" s="8"/>
    </row>
    <row r="209" spans="7:7">
      <c r="G209" s="8"/>
    </row>
    <row r="210" spans="7:7">
      <c r="G210" s="8"/>
    </row>
    <row r="211" spans="7:7">
      <c r="G211" s="8"/>
    </row>
    <row r="212" spans="7:7">
      <c r="G212" s="8"/>
    </row>
    <row r="213" spans="7:7">
      <c r="G213" s="8"/>
    </row>
    <row r="214" spans="7:7">
      <c r="G214" s="8"/>
    </row>
    <row r="215" spans="7:7">
      <c r="G215" s="8"/>
    </row>
    <row r="216" spans="7:7">
      <c r="G216" s="8"/>
    </row>
    <row r="217" spans="7:7">
      <c r="G217" s="8"/>
    </row>
    <row r="218" spans="7:7">
      <c r="G218" s="8"/>
    </row>
    <row r="219" spans="7:7">
      <c r="G219" s="8"/>
    </row>
    <row r="220" spans="7:7">
      <c r="G220" s="8"/>
    </row>
    <row r="221" spans="7:7">
      <c r="G221" s="8"/>
    </row>
    <row r="222" spans="7:7">
      <c r="G222" s="8"/>
    </row>
    <row r="223" spans="7:7">
      <c r="G223" s="8"/>
    </row>
    <row r="224" spans="7:7">
      <c r="G224" s="8"/>
    </row>
    <row r="225" spans="7:7">
      <c r="G225" s="8"/>
    </row>
    <row r="226" spans="7:7">
      <c r="G226" s="8"/>
    </row>
    <row r="227" spans="7:7">
      <c r="G227" s="8"/>
    </row>
    <row r="228" spans="7:7">
      <c r="G228" s="8"/>
    </row>
    <row r="229" spans="7:7">
      <c r="G229" s="8"/>
    </row>
    <row r="230" spans="7:7">
      <c r="G230" s="8"/>
    </row>
    <row r="231" spans="7:7">
      <c r="G231" s="8"/>
    </row>
    <row r="232" spans="7:7">
      <c r="G232" s="8"/>
    </row>
    <row r="233" spans="7:7">
      <c r="G233" s="8"/>
    </row>
    <row r="234" spans="7:7">
      <c r="G234" s="8"/>
    </row>
    <row r="235" spans="7:7">
      <c r="G235" s="8"/>
    </row>
    <row r="236" spans="7:7">
      <c r="G236" s="8"/>
    </row>
    <row r="237" spans="7:7">
      <c r="G237" s="8"/>
    </row>
    <row r="238" spans="7:7">
      <c r="G238" s="8"/>
    </row>
    <row r="239" spans="7:7">
      <c r="G239" s="8"/>
    </row>
    <row r="240" spans="7:7">
      <c r="G240" s="8"/>
    </row>
    <row r="241" spans="7:7">
      <c r="G241" s="8"/>
    </row>
    <row r="242" spans="7:7">
      <c r="G242" s="8"/>
    </row>
    <row r="243" spans="7:7">
      <c r="G243" s="8"/>
    </row>
    <row r="244" spans="7:7">
      <c r="G244" s="8"/>
    </row>
    <row r="245" spans="7:7">
      <c r="G245" s="8"/>
    </row>
    <row r="246" spans="7:7">
      <c r="G246" s="8"/>
    </row>
    <row r="247" spans="7:7">
      <c r="G247" s="8"/>
    </row>
    <row r="248" spans="7:7">
      <c r="G248" s="8"/>
    </row>
    <row r="249" spans="7:7">
      <c r="G249" s="8"/>
    </row>
    <row r="250" spans="7:7">
      <c r="G250" s="8"/>
    </row>
    <row r="251" spans="7:7">
      <c r="G251" s="8"/>
    </row>
    <row r="252" spans="7:7">
      <c r="G252" s="8"/>
    </row>
    <row r="253" spans="7:7">
      <c r="G253" s="8"/>
    </row>
    <row r="254" spans="7:7">
      <c r="G254" s="8"/>
    </row>
    <row r="255" spans="7:7">
      <c r="G255" s="8"/>
    </row>
    <row r="256" spans="7:7">
      <c r="G256" s="8"/>
    </row>
  </sheetData>
  <protectedRanges>
    <protectedRange sqref="B33:O48 C29:C32 G29:O32 D29:E29 D30:D31 E30:E32 F30 F32" name="Område2"/>
    <protectedRange sqref="S5:W5" name="Område1"/>
    <protectedRange sqref="P52 B50:P51" name="Område3"/>
    <protectedRange sqref="B29:B32" name="Område2_1"/>
  </protectedRanges>
  <mergeCells count="16">
    <mergeCell ref="B98:E98"/>
    <mergeCell ref="B2:G2"/>
    <mergeCell ref="M26:O26"/>
    <mergeCell ref="J26:L26"/>
    <mergeCell ref="H26:I26"/>
    <mergeCell ref="G22:G25"/>
    <mergeCell ref="Q29:W30"/>
    <mergeCell ref="T4:V4"/>
    <mergeCell ref="Q6:S6"/>
    <mergeCell ref="C7:G7"/>
    <mergeCell ref="T6:V6"/>
    <mergeCell ref="E22:E25"/>
    <mergeCell ref="D22:D25"/>
    <mergeCell ref="C22:C25"/>
    <mergeCell ref="F22:F25"/>
    <mergeCell ref="H25:O25"/>
  </mergeCells>
  <hyperlinks>
    <hyperlink ref="B175" r:id="rId1" xr:uid="{772E8CF7-BC9E-D047-B776-A859D79DBC14}"/>
  </hyperlinks>
  <pageMargins left="0.23622047244094491" right="0.23622047244094491" top="7.0729166666666662E-2" bottom="0.74803149606299213" header="0.31496062992125984" footer="0.31496062992125984"/>
  <pageSetup paperSize="8" scale="63" fitToHeight="0" orientation="landscape" r:id="rId2"/>
  <drawing r:id="rId3"/>
  <legacyDrawing r:id="rId4"/>
  <tableParts count="1">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92303-8780-41D3-ADEE-CB38D831BFDC}">
  <sheetPr>
    <tabColor theme="9" tint="0.59999389629810485"/>
    <pageSetUpPr fitToPage="1"/>
  </sheetPr>
  <dimension ref="B1:AC256"/>
  <sheetViews>
    <sheetView showGridLines="0" zoomScaleNormal="100" zoomScalePageLayoutView="50" workbookViewId="0">
      <selection activeCell="A2" sqref="A2"/>
    </sheetView>
  </sheetViews>
  <sheetFormatPr defaultColWidth="9.1796875" defaultRowHeight="15.5"/>
  <cols>
    <col min="2" max="2" width="17.1796875" customWidth="1"/>
    <col min="3" max="3" width="30.453125" customWidth="1"/>
    <col min="4" max="4" width="8.6328125" customWidth="1"/>
    <col min="5" max="5" width="12.453125" style="63" customWidth="1"/>
    <col min="6" max="9" width="15.453125" customWidth="1"/>
    <col min="10" max="10" width="15.453125" style="141" customWidth="1"/>
    <col min="11" max="11" width="16.6328125" style="66" hidden="1" customWidth="1"/>
    <col min="12" max="12" width="15.36328125" style="66" hidden="1" customWidth="1"/>
    <col min="13" max="13" width="10.1796875" style="67" hidden="1" customWidth="1"/>
    <col min="14" max="14" width="11.453125" style="66" hidden="1" customWidth="1"/>
    <col min="15" max="15" width="11" style="68" hidden="1" customWidth="1"/>
    <col min="16" max="16" width="11" style="66" hidden="1" customWidth="1"/>
    <col min="17" max="17" width="11" style="67" hidden="1" customWidth="1"/>
    <col min="18" max="18" width="1.81640625" style="68" hidden="1" customWidth="1"/>
    <col min="19" max="19" width="1.453125" style="138" customWidth="1"/>
    <col min="20" max="26" width="7.453125" customWidth="1"/>
  </cols>
  <sheetData>
    <row r="1" spans="2:29">
      <c r="D1" t="s">
        <v>14</v>
      </c>
      <c r="E1"/>
      <c r="J1"/>
      <c r="K1"/>
      <c r="L1"/>
      <c r="M1"/>
      <c r="N1"/>
      <c r="O1"/>
      <c r="P1"/>
      <c r="Q1"/>
      <c r="R1"/>
    </row>
    <row r="2" spans="2:29" ht="60" customHeight="1">
      <c r="B2" s="126" t="s">
        <v>20</v>
      </c>
      <c r="C2" s="126"/>
      <c r="D2" s="126"/>
      <c r="E2" s="126"/>
      <c r="F2" s="126"/>
      <c r="G2" s="126"/>
      <c r="H2" s="135"/>
      <c r="I2" s="135"/>
      <c r="J2" s="135"/>
      <c r="K2" s="136"/>
      <c r="L2" s="136"/>
      <c r="M2" s="136"/>
      <c r="N2" s="136"/>
      <c r="O2" s="136"/>
      <c r="P2" s="136"/>
      <c r="Q2" s="136"/>
      <c r="R2" s="136"/>
      <c r="S2" s="137"/>
      <c r="T2" s="984" t="s">
        <v>164</v>
      </c>
      <c r="U2" s="984"/>
      <c r="V2" s="984"/>
      <c r="W2" s="984"/>
      <c r="X2" s="984"/>
      <c r="Y2" s="984"/>
      <c r="Z2" s="984"/>
      <c r="AC2" s="139"/>
    </row>
    <row r="3" spans="2:29" ht="5" customHeight="1">
      <c r="E3"/>
      <c r="J3"/>
      <c r="K3"/>
      <c r="L3"/>
      <c r="M3"/>
      <c r="N3"/>
      <c r="O3"/>
      <c r="P3"/>
      <c r="Q3"/>
      <c r="R3"/>
      <c r="T3" t="s">
        <v>63</v>
      </c>
    </row>
    <row r="4" spans="2:29" ht="18" customHeight="1">
      <c r="B4" s="244"/>
      <c r="C4" s="234" t="s">
        <v>211</v>
      </c>
      <c r="D4" s="235">
        <f>Forestillingstitel</f>
        <v>0</v>
      </c>
      <c r="E4" s="235"/>
      <c r="F4" s="235"/>
      <c r="G4" s="235"/>
      <c r="H4" s="235"/>
      <c r="I4" s="235"/>
      <c r="J4" s="235"/>
      <c r="K4" s="241"/>
      <c r="L4" s="241"/>
      <c r="M4" s="234"/>
      <c r="N4" s="80"/>
      <c r="O4" s="80"/>
      <c r="P4" s="79"/>
      <c r="Q4" s="81"/>
      <c r="R4" s="82"/>
      <c r="S4" s="83"/>
      <c r="T4" s="242"/>
      <c r="U4" s="242" t="s">
        <v>210</v>
      </c>
      <c r="V4" s="242"/>
      <c r="W4" s="983">
        <f>TARGET</f>
        <v>0</v>
      </c>
      <c r="X4" s="983"/>
      <c r="Y4" s="983"/>
      <c r="Z4" s="983"/>
    </row>
    <row r="5" spans="2:29" ht="18" customHeight="1">
      <c r="B5" s="244"/>
      <c r="C5" s="234" t="s">
        <v>198</v>
      </c>
      <c r="D5" s="235">
        <f>KUNSTART</f>
        <v>0</v>
      </c>
      <c r="E5" s="236"/>
      <c r="F5" s="236"/>
      <c r="G5" s="983"/>
      <c r="H5" s="983"/>
      <c r="I5" s="983"/>
      <c r="J5" s="983"/>
      <c r="K5" s="983"/>
      <c r="L5" s="983"/>
      <c r="M5" s="983"/>
      <c r="N5" s="80"/>
      <c r="O5" s="80"/>
      <c r="P5" s="79"/>
      <c r="Q5" s="81"/>
      <c r="R5" s="82"/>
      <c r="S5" s="83"/>
      <c r="T5" s="236"/>
      <c r="U5" s="235" t="s">
        <v>34</v>
      </c>
      <c r="V5" s="235"/>
      <c r="W5" s="235"/>
      <c r="X5" s="235"/>
      <c r="Y5" s="235"/>
      <c r="Z5" s="235"/>
    </row>
    <row r="6" spans="2:29" ht="18" customHeight="1">
      <c r="B6" s="244"/>
      <c r="C6" s="234" t="s">
        <v>212</v>
      </c>
      <c r="D6" s="235">
        <f>sæson</f>
        <v>0</v>
      </c>
      <c r="E6" s="235"/>
      <c r="F6" s="235"/>
      <c r="G6" s="235"/>
      <c r="H6" s="235"/>
      <c r="I6" s="235"/>
      <c r="J6" s="235"/>
      <c r="K6" s="241"/>
      <c r="L6" s="241"/>
      <c r="M6" s="234"/>
      <c r="N6" s="80"/>
      <c r="O6" s="80"/>
      <c r="P6" s="79"/>
      <c r="Q6" s="81"/>
      <c r="R6" s="82"/>
      <c r="S6" s="83"/>
      <c r="T6" s="236"/>
      <c r="U6" s="235" t="s">
        <v>203</v>
      </c>
      <c r="V6" s="236"/>
      <c r="W6" s="983">
        <f>_kostumier</f>
        <v>0</v>
      </c>
      <c r="X6" s="983"/>
      <c r="Y6" s="983"/>
      <c r="Z6" s="983"/>
    </row>
    <row r="7" spans="2:29" ht="4.5" customHeight="1">
      <c r="E7" s="110"/>
      <c r="H7" s="64"/>
      <c r="I7" s="140"/>
      <c r="J7" s="140"/>
    </row>
    <row r="8" spans="2:29" ht="4.5" customHeight="1">
      <c r="I8" s="140"/>
      <c r="J8" s="140"/>
    </row>
    <row r="9" spans="2:29" ht="4.5" customHeight="1"/>
    <row r="11" spans="2:29" ht="20" customHeight="1"/>
    <row r="15" spans="2:29" ht="16.5" customHeight="1">
      <c r="B15" s="995" t="s">
        <v>84</v>
      </c>
      <c r="C15" s="995"/>
      <c r="D15" s="142"/>
    </row>
    <row r="16" spans="2:29" ht="16.5" customHeight="1">
      <c r="B16" s="995"/>
      <c r="C16" s="995"/>
      <c r="D16" s="142"/>
    </row>
    <row r="17" spans="2:26">
      <c r="B17" s="995"/>
      <c r="C17" s="995"/>
      <c r="D17" s="142"/>
    </row>
    <row r="18" spans="2:26">
      <c r="B18" s="995"/>
      <c r="C18" s="995"/>
      <c r="D18" s="142"/>
      <c r="K18" s="143"/>
    </row>
    <row r="19" spans="2:26" s="148" customFormat="1">
      <c r="B19" s="995"/>
      <c r="C19" s="995"/>
      <c r="D19" s="142"/>
      <c r="E19" s="144"/>
      <c r="F19" s="70">
        <f>SUM(F28:F52)</f>
        <v>0</v>
      </c>
      <c r="G19" s="71">
        <f>SUM(G28:G52)</f>
        <v>0</v>
      </c>
      <c r="H19" s="72">
        <f>SUM(H28:H52)</f>
        <v>0</v>
      </c>
      <c r="I19" s="73">
        <f>SUM(I28:I52)</f>
        <v>0</v>
      </c>
      <c r="J19" s="74">
        <f>SUM(J28:J52)</f>
        <v>0</v>
      </c>
      <c r="K19" s="143"/>
      <c r="L19" s="145"/>
      <c r="M19" s="146"/>
      <c r="N19" s="147"/>
      <c r="O19" s="147"/>
      <c r="P19" s="147"/>
      <c r="Q19" s="147"/>
      <c r="R19" s="147"/>
      <c r="S19" s="138"/>
    </row>
    <row r="20" spans="2:26" ht="5.25" customHeight="1">
      <c r="B20" s="995"/>
      <c r="C20" s="995"/>
      <c r="D20" s="142"/>
      <c r="J20" s="66"/>
    </row>
    <row r="21" spans="2:26" s="149" customFormat="1" ht="39">
      <c r="E21" s="75" t="s">
        <v>36</v>
      </c>
      <c r="F21" s="76" t="s">
        <v>15</v>
      </c>
      <c r="G21" s="76" t="s">
        <v>16</v>
      </c>
      <c r="H21" s="76" t="s">
        <v>17</v>
      </c>
      <c r="I21" s="76" t="s">
        <v>18</v>
      </c>
      <c r="J21" s="76" t="s">
        <v>37</v>
      </c>
      <c r="K21" s="150"/>
      <c r="L21" s="150"/>
      <c r="M21" s="151"/>
      <c r="N21" s="150"/>
      <c r="O21" s="152"/>
      <c r="P21" s="150"/>
      <c r="Q21" s="151"/>
      <c r="R21" s="152"/>
      <c r="S21" s="138"/>
    </row>
    <row r="22" spans="2:26" s="63" customFormat="1" ht="16.5" customHeight="1">
      <c r="F22" s="993" t="s">
        <v>64</v>
      </c>
      <c r="G22" s="993" t="s">
        <v>65</v>
      </c>
      <c r="H22" s="993" t="s">
        <v>66</v>
      </c>
      <c r="I22" s="993" t="s">
        <v>67</v>
      </c>
      <c r="J22" s="993" t="s">
        <v>68</v>
      </c>
      <c r="K22" s="66"/>
      <c r="L22" s="66"/>
      <c r="M22" s="67"/>
      <c r="N22" s="66"/>
      <c r="O22" s="68"/>
      <c r="P22" s="66"/>
      <c r="Q22" s="67"/>
      <c r="R22" s="68"/>
      <c r="S22" s="138"/>
    </row>
    <row r="23" spans="2:26" s="63" customFormat="1">
      <c r="F23" s="994"/>
      <c r="G23" s="994"/>
      <c r="H23" s="994"/>
      <c r="I23" s="994"/>
      <c r="J23" s="994"/>
      <c r="K23" s="66"/>
      <c r="L23" s="66"/>
      <c r="M23" s="67"/>
      <c r="N23" s="66"/>
      <c r="O23" s="68"/>
      <c r="P23" s="66"/>
      <c r="Q23" s="67"/>
      <c r="R23" s="68"/>
      <c r="S23" s="138"/>
    </row>
    <row r="24" spans="2:26" s="63" customFormat="1" ht="16.5" customHeight="1" thickBot="1">
      <c r="F24" s="994"/>
      <c r="G24" s="994"/>
      <c r="H24" s="994"/>
      <c r="I24" s="994"/>
      <c r="J24" s="994"/>
      <c r="K24" s="66"/>
      <c r="L24" s="66"/>
      <c r="M24" s="67"/>
      <c r="N24" s="66"/>
      <c r="O24" s="68"/>
      <c r="P24" s="66"/>
      <c r="Q24" s="67"/>
      <c r="R24" s="68"/>
      <c r="S24" s="138"/>
    </row>
    <row r="25" spans="2:26" s="63" customFormat="1" ht="16.5" customHeight="1" thickBot="1">
      <c r="F25" s="994"/>
      <c r="G25" s="994"/>
      <c r="H25" s="994"/>
      <c r="I25" s="994"/>
      <c r="J25" s="994"/>
      <c r="K25" s="990" t="s">
        <v>11</v>
      </c>
      <c r="L25" s="991"/>
      <c r="M25" s="991"/>
      <c r="N25" s="991"/>
      <c r="O25" s="991"/>
      <c r="P25" s="991"/>
      <c r="Q25" s="991"/>
      <c r="R25" s="992"/>
      <c r="S25" s="138"/>
    </row>
    <row r="26" spans="2:26" s="63" customFormat="1" ht="16.5" customHeight="1">
      <c r="F26" s="994"/>
      <c r="G26" s="994"/>
      <c r="H26" s="994"/>
      <c r="I26" s="994"/>
      <c r="J26" s="994"/>
      <c r="K26" s="986" t="s">
        <v>4</v>
      </c>
      <c r="L26" s="986"/>
      <c r="M26" s="985" t="s">
        <v>3</v>
      </c>
      <c r="N26" s="986"/>
      <c r="O26" s="986"/>
      <c r="P26" s="987" t="s">
        <v>10</v>
      </c>
      <c r="Q26" s="988"/>
      <c r="R26" s="989"/>
      <c r="S26" s="138"/>
    </row>
    <row r="27" spans="2:26" ht="32" customHeight="1">
      <c r="B27" s="84" t="s">
        <v>69</v>
      </c>
      <c r="C27" s="84" t="s">
        <v>70</v>
      </c>
      <c r="D27" s="85" t="s">
        <v>71</v>
      </c>
      <c r="F27" s="994"/>
      <c r="G27" s="994"/>
      <c r="H27" s="994"/>
      <c r="I27" s="994"/>
      <c r="J27" s="994"/>
      <c r="K27" s="153" t="s">
        <v>0</v>
      </c>
      <c r="L27" s="153" t="s">
        <v>1</v>
      </c>
      <c r="M27" s="153" t="s">
        <v>8</v>
      </c>
      <c r="N27" s="153" t="s">
        <v>1</v>
      </c>
      <c r="O27" s="154" t="s">
        <v>2</v>
      </c>
      <c r="P27" s="153" t="s">
        <v>5</v>
      </c>
      <c r="Q27" s="153" t="s">
        <v>7</v>
      </c>
      <c r="R27" s="154" t="s">
        <v>6</v>
      </c>
    </row>
    <row r="28" spans="2:26" ht="22" customHeight="1">
      <c r="B28" s="996" t="s">
        <v>72</v>
      </c>
      <c r="C28" s="155" t="s">
        <v>77</v>
      </c>
      <c r="D28" s="156">
        <v>5</v>
      </c>
      <c r="E28" s="157"/>
      <c r="F28" s="158" t="str">
        <f>IF(Tabel82[[#This Row],[Kolonne1]]&gt;0,$E28*$D$28,"")</f>
        <v/>
      </c>
      <c r="G28" s="158"/>
      <c r="H28" s="158" t="str">
        <f>IF(Tabel82[[#This Row],[Kolonne3]]&gt;0,$E28*$D$28,"")</f>
        <v/>
      </c>
      <c r="I28" s="158"/>
      <c r="J28" s="159"/>
      <c r="K28" s="160"/>
      <c r="L28" s="160"/>
      <c r="M28" s="161"/>
      <c r="N28" s="160"/>
      <c r="O28" s="162">
        <v>40</v>
      </c>
      <c r="P28" s="160"/>
      <c r="Q28" s="161"/>
      <c r="R28" s="162"/>
    </row>
    <row r="29" spans="2:26" ht="22" customHeight="1">
      <c r="B29" s="997"/>
      <c r="C29" s="163" t="s">
        <v>78</v>
      </c>
      <c r="D29" s="85">
        <v>5</v>
      </c>
      <c r="E29" s="164"/>
      <c r="F29" s="158"/>
      <c r="G29" s="158" t="str">
        <f>IF(Tabel82[[#This Row],[Kolonne1]]&gt;0,$E29*$D28,"")</f>
        <v/>
      </c>
      <c r="H29" s="158"/>
      <c r="I29" s="158" t="str">
        <f>IF(Tabel82[[#This Row],[Kolonne4]]&gt;0,$E29*$D$28,"")</f>
        <v/>
      </c>
      <c r="J29" s="159"/>
      <c r="K29" s="160"/>
      <c r="L29" s="160"/>
      <c r="M29" s="161"/>
      <c r="N29" s="160"/>
      <c r="O29" s="162"/>
      <c r="P29" s="160"/>
      <c r="Q29" s="161"/>
      <c r="R29" s="162"/>
      <c r="T29" s="982" t="s">
        <v>186</v>
      </c>
      <c r="U29" s="982"/>
      <c r="V29" s="982"/>
      <c r="W29" s="982"/>
      <c r="X29" s="982"/>
      <c r="Y29" s="982"/>
      <c r="Z29" s="982"/>
    </row>
    <row r="30" spans="2:26" ht="22" customHeight="1">
      <c r="B30" s="997"/>
      <c r="C30" s="155" t="s">
        <v>79</v>
      </c>
      <c r="D30" s="156">
        <v>5</v>
      </c>
      <c r="E30" s="157"/>
      <c r="F30" s="158"/>
      <c r="G30" s="158" t="str">
        <f>IF(Tabel82[[#This Row],[Kolonne2]]&gt;0,$E30*$D29,"")</f>
        <v/>
      </c>
      <c r="H30" s="158" t="str">
        <f>IF(Tabel82[[#This Row],[Kolonne1]]&gt;0,$E30*$D29,"")</f>
        <v/>
      </c>
      <c r="I30" s="158"/>
      <c r="J30" s="159" t="str">
        <f>IF(Tabel82[[#This Row],[Kolonne5]]&gt;0,I30*H30,"")</f>
        <v/>
      </c>
      <c r="K30" s="165"/>
      <c r="L30" s="165"/>
      <c r="M30" s="166"/>
      <c r="N30" s="165"/>
      <c r="O30" s="147"/>
      <c r="P30" s="165"/>
      <c r="Q30" s="166"/>
      <c r="R30" s="147"/>
      <c r="T30" s="982"/>
      <c r="U30" s="982"/>
      <c r="V30" s="982"/>
      <c r="W30" s="982"/>
      <c r="X30" s="982"/>
      <c r="Y30" s="982"/>
      <c r="Z30" s="982"/>
    </row>
    <row r="31" spans="2:26" ht="22" customHeight="1">
      <c r="B31" s="997"/>
      <c r="C31" s="163" t="s">
        <v>80</v>
      </c>
      <c r="D31" s="85">
        <v>5</v>
      </c>
      <c r="E31" s="164"/>
      <c r="F31" s="158"/>
      <c r="G31" s="158" t="str">
        <f>IF(Tabel82[[#This Row],[Kolonne2]]&gt;0,$E31*$D30,"")</f>
        <v/>
      </c>
      <c r="H31" s="158"/>
      <c r="I31" s="158" t="str">
        <f>IF(Tabel82[[#This Row],[Kolonne1]]&gt;0,$E31*$D30,"")</f>
        <v/>
      </c>
      <c r="J31" s="159"/>
      <c r="K31" s="160"/>
      <c r="L31" s="160"/>
      <c r="M31" s="161"/>
      <c r="N31" s="160"/>
      <c r="O31" s="162"/>
      <c r="P31" s="160"/>
      <c r="Q31" s="161"/>
      <c r="R31" s="162"/>
    </row>
    <row r="32" spans="2:26" ht="22" customHeight="1">
      <c r="B32" s="998"/>
      <c r="C32" s="167" t="s">
        <v>81</v>
      </c>
      <c r="D32" s="168">
        <v>5</v>
      </c>
      <c r="E32" s="169"/>
      <c r="F32" s="170"/>
      <c r="G32" s="170" t="str">
        <f>IF(Tabel82[[#This Row],[Kolonne2]]&gt;0,$E32*$D31,"")</f>
        <v/>
      </c>
      <c r="H32" s="170"/>
      <c r="I32" s="170" t="str">
        <f>IF(Tabel82[[#This Row],[Kolonne4]]&gt;0,H32*G32,"")</f>
        <v/>
      </c>
      <c r="J32" s="171" t="str">
        <f>IF(Tabel82[[#This Row],[Kolonne1]]&gt;0,$E32*$D31,"")</f>
        <v/>
      </c>
      <c r="K32" s="160"/>
      <c r="L32" s="160"/>
      <c r="M32" s="161"/>
      <c r="N32" s="160"/>
      <c r="O32" s="162"/>
      <c r="P32" s="160"/>
      <c r="Q32" s="161"/>
      <c r="R32" s="162"/>
    </row>
    <row r="33" spans="2:23" ht="22" customHeight="1">
      <c r="B33" s="999" t="s">
        <v>73</v>
      </c>
      <c r="C33" s="172" t="s">
        <v>77</v>
      </c>
      <c r="D33" s="173">
        <v>4</v>
      </c>
      <c r="E33" s="174"/>
      <c r="F33" s="158" t="str">
        <f>IF(Tabel82[[#This Row],[Kolonne1]]&gt;0,E33*D33,"")</f>
        <v/>
      </c>
      <c r="G33" s="158"/>
      <c r="H33" s="158" t="str">
        <f>IF(Tabel82[[#This Row],[Kolonne3]]&gt;0,G33*F33,"")</f>
        <v/>
      </c>
      <c r="I33" s="158"/>
      <c r="J33" s="159" t="str">
        <f>IF(Tabel82[[#This Row],[Kolonne5]]&gt;0,I33*H33,"")</f>
        <v/>
      </c>
      <c r="K33" s="160"/>
      <c r="L33" s="160"/>
      <c r="M33" s="161"/>
      <c r="N33" s="160"/>
      <c r="O33" s="162"/>
      <c r="P33" s="160"/>
      <c r="Q33" s="161"/>
      <c r="R33" s="162"/>
    </row>
    <row r="34" spans="2:23" ht="22" customHeight="1">
      <c r="B34" s="1000"/>
      <c r="C34" s="155" t="s">
        <v>78</v>
      </c>
      <c r="D34" s="156">
        <v>4</v>
      </c>
      <c r="E34" s="157"/>
      <c r="F34" s="158"/>
      <c r="G34" s="158" t="str">
        <f>IF(Tabel82[[#This Row],[Kolonne1]]&gt;0,$E34*$D33,"")</f>
        <v/>
      </c>
      <c r="H34" s="158"/>
      <c r="I34" s="158"/>
      <c r="J34" s="159"/>
      <c r="K34" s="160"/>
      <c r="L34" s="160"/>
      <c r="M34" s="161"/>
      <c r="N34" s="160"/>
      <c r="O34" s="162"/>
      <c r="P34" s="160"/>
      <c r="Q34" s="161"/>
      <c r="R34" s="162"/>
    </row>
    <row r="35" spans="2:23" ht="22" customHeight="1">
      <c r="B35" s="1000"/>
      <c r="C35" s="163" t="s">
        <v>79</v>
      </c>
      <c r="D35" s="85">
        <v>4</v>
      </c>
      <c r="E35" s="164"/>
      <c r="F35" s="158"/>
      <c r="G35" s="158" t="str">
        <f>IF(Tabel82[[#This Row],[Kolonne2]]&gt;0,$E35*$D34,"")</f>
        <v/>
      </c>
      <c r="H35" s="158" t="str">
        <f>IF(Tabel82[[#This Row],[Kolonne1]]&gt;0,$E35*$D34,"")</f>
        <v/>
      </c>
      <c r="I35" s="158"/>
      <c r="J35" s="159"/>
      <c r="K35" s="165"/>
      <c r="L35" s="165"/>
      <c r="M35" s="166"/>
      <c r="N35" s="165"/>
      <c r="O35" s="147"/>
      <c r="P35" s="165"/>
      <c r="Q35" s="166"/>
      <c r="R35" s="147"/>
    </row>
    <row r="36" spans="2:23" ht="22" customHeight="1">
      <c r="B36" s="1000"/>
      <c r="C36" s="155" t="s">
        <v>80</v>
      </c>
      <c r="D36" s="156">
        <v>4</v>
      </c>
      <c r="E36" s="157"/>
      <c r="F36" s="158"/>
      <c r="G36" s="158" t="str">
        <f>IF(Tabel82[[#This Row],[Kolonne2]]&gt;0,$E36*$D35,"")</f>
        <v/>
      </c>
      <c r="H36" s="158"/>
      <c r="I36" s="158" t="str">
        <f>IF(Tabel82[[#This Row],[Kolonne1]]&gt;0,$E36*$D35,"")</f>
        <v/>
      </c>
      <c r="J36" s="159"/>
      <c r="K36" s="160"/>
      <c r="L36" s="175"/>
      <c r="M36" s="161"/>
      <c r="N36" s="160"/>
      <c r="O36" s="162"/>
      <c r="P36" s="160"/>
      <c r="Q36" s="161"/>
      <c r="R36" s="162"/>
    </row>
    <row r="37" spans="2:23" ht="22" customHeight="1">
      <c r="B37" s="1001"/>
      <c r="C37" s="176" t="s">
        <v>81</v>
      </c>
      <c r="D37" s="177">
        <v>4</v>
      </c>
      <c r="E37" s="178"/>
      <c r="F37" s="170"/>
      <c r="G37" s="170" t="str">
        <f>IF(Tabel82[[#This Row],[Kolonne2]]&gt;0,$E37*$D36,"")</f>
        <v/>
      </c>
      <c r="H37" s="170"/>
      <c r="I37" s="170"/>
      <c r="J37" s="171" t="str">
        <f>IF(Tabel82[[#This Row],[Kolonne1]]&gt;0,$E37*$D36,"")</f>
        <v/>
      </c>
      <c r="K37" s="160"/>
      <c r="L37" s="160"/>
      <c r="M37" s="161"/>
      <c r="N37" s="160"/>
      <c r="O37" s="162"/>
      <c r="P37" s="160"/>
      <c r="Q37" s="161" t="s">
        <v>9</v>
      </c>
      <c r="R37" s="162"/>
    </row>
    <row r="38" spans="2:23" ht="22" customHeight="1">
      <c r="B38" s="996" t="s">
        <v>74</v>
      </c>
      <c r="C38" s="155" t="s">
        <v>77</v>
      </c>
      <c r="D38" s="156">
        <v>2</v>
      </c>
      <c r="E38" s="157"/>
      <c r="F38" s="158" t="str">
        <f>IF(Tabel82[[#This Row],[Kolonne1]]&gt;0,E38*D38,"")</f>
        <v/>
      </c>
      <c r="G38" s="158"/>
      <c r="H38" s="158"/>
      <c r="I38" s="158"/>
      <c r="J38" s="159"/>
      <c r="K38" s="160"/>
      <c r="L38" s="160"/>
      <c r="M38" s="161"/>
      <c r="N38" s="160"/>
      <c r="O38" s="162">
        <v>6</v>
      </c>
      <c r="P38" s="160"/>
      <c r="Q38" s="161"/>
      <c r="R38" s="162">
        <v>6</v>
      </c>
    </row>
    <row r="39" spans="2:23" ht="22" customHeight="1">
      <c r="B39" s="997"/>
      <c r="C39" s="163" t="s">
        <v>78</v>
      </c>
      <c r="D39" s="85">
        <v>2</v>
      </c>
      <c r="E39" s="164"/>
      <c r="F39" s="158"/>
      <c r="G39" s="158" t="str">
        <f>IF(Tabel82[[#This Row],[Kolonne1]]&gt;0,$E39*$D38,"")</f>
        <v/>
      </c>
      <c r="H39" s="158"/>
      <c r="I39" s="158"/>
      <c r="J39" s="159"/>
      <c r="K39" s="160"/>
      <c r="L39" s="160"/>
      <c r="M39" s="161"/>
      <c r="N39" s="160"/>
      <c r="O39" s="162">
        <v>40</v>
      </c>
      <c r="P39" s="160"/>
      <c r="Q39" s="161" t="s">
        <v>9</v>
      </c>
      <c r="R39" s="162"/>
      <c r="V39" s="179"/>
      <c r="W39" s="179"/>
    </row>
    <row r="40" spans="2:23" ht="22" customHeight="1">
      <c r="B40" s="997"/>
      <c r="C40" s="155" t="s">
        <v>79</v>
      </c>
      <c r="D40" s="156">
        <v>2</v>
      </c>
      <c r="E40" s="157"/>
      <c r="F40" s="158"/>
      <c r="G40" s="158" t="str">
        <f>IF(Tabel82[[#This Row],[Kolonne2]]&gt;0,$E40*$D39,"")</f>
        <v/>
      </c>
      <c r="H40" s="158" t="str">
        <f>IF(Tabel82[[#This Row],[Kolonne1]]&gt;0,$E40*$D39,"")</f>
        <v/>
      </c>
      <c r="I40" s="158"/>
      <c r="J40" s="159"/>
      <c r="K40" s="165"/>
      <c r="L40" s="165"/>
      <c r="M40" s="166"/>
      <c r="N40" s="165"/>
      <c r="O40" s="147"/>
      <c r="P40" s="165"/>
      <c r="Q40" s="166"/>
      <c r="R40" s="147"/>
      <c r="V40" s="179"/>
      <c r="W40" s="179"/>
    </row>
    <row r="41" spans="2:23" ht="22" customHeight="1">
      <c r="B41" s="997"/>
      <c r="C41" s="163" t="s">
        <v>80</v>
      </c>
      <c r="D41" s="85">
        <v>2</v>
      </c>
      <c r="E41" s="164"/>
      <c r="F41" s="158"/>
      <c r="G41" s="158" t="str">
        <f>IF(Tabel82[[#This Row],[Kolonne2]]&gt;0,$E41*$D40,"")</f>
        <v/>
      </c>
      <c r="H41" s="158"/>
      <c r="I41" s="158" t="str">
        <f>IF(Tabel82[[#This Row],[Kolonne1]]&gt;0,$E41*$D40,"")</f>
        <v/>
      </c>
      <c r="J41" s="159"/>
      <c r="K41" s="165"/>
      <c r="L41" s="165"/>
      <c r="M41" s="166"/>
      <c r="N41" s="165"/>
      <c r="O41" s="147"/>
      <c r="P41" s="165"/>
      <c r="Q41" s="166"/>
      <c r="R41" s="147"/>
    </row>
    <row r="42" spans="2:23" ht="22" customHeight="1">
      <c r="B42" s="998"/>
      <c r="C42" s="167" t="s">
        <v>81</v>
      </c>
      <c r="D42" s="168">
        <v>2</v>
      </c>
      <c r="E42" s="169"/>
      <c r="F42" s="170"/>
      <c r="G42" s="170" t="str">
        <f>IF(Tabel82[[#This Row],[Kolonne2]]&gt;0,$E42*$D41,"")</f>
        <v/>
      </c>
      <c r="H42" s="170"/>
      <c r="I42" s="170"/>
      <c r="J42" s="171" t="str">
        <f>IF(Tabel82[[#This Row],[Kolonne1]]&gt;0,$E42*$D41,"")</f>
        <v/>
      </c>
      <c r="K42" s="165"/>
      <c r="L42" s="165"/>
      <c r="M42" s="166"/>
      <c r="N42" s="165"/>
      <c r="O42" s="147"/>
      <c r="P42" s="165"/>
      <c r="Q42" s="166"/>
      <c r="R42" s="147"/>
    </row>
    <row r="43" spans="2:23" ht="22" customHeight="1">
      <c r="B43" s="999" t="s">
        <v>75</v>
      </c>
      <c r="C43" s="172" t="s">
        <v>77</v>
      </c>
      <c r="D43" s="173">
        <v>0.5</v>
      </c>
      <c r="E43" s="174"/>
      <c r="F43" s="180" t="str">
        <f>IF(Tabel82[[#This Row],[Kolonne1]]&gt;0,E43*D43,"")</f>
        <v/>
      </c>
      <c r="G43" s="158"/>
      <c r="H43" s="158"/>
      <c r="I43" s="158"/>
      <c r="J43" s="159"/>
      <c r="K43" s="165"/>
      <c r="L43" s="165"/>
      <c r="M43" s="166"/>
      <c r="N43" s="165"/>
      <c r="O43" s="147"/>
      <c r="P43" s="165"/>
      <c r="Q43" s="166"/>
      <c r="R43" s="147"/>
    </row>
    <row r="44" spans="2:23" ht="22" customHeight="1">
      <c r="B44" s="1000"/>
      <c r="C44" s="155" t="s">
        <v>78</v>
      </c>
      <c r="D44" s="156">
        <v>0.5</v>
      </c>
      <c r="E44" s="157"/>
      <c r="F44" s="158"/>
      <c r="G44" s="180" t="str">
        <f>IF(Tabel82[[#This Row],[Kolonne1]]&gt;0,$E44*$D43,"")</f>
        <v/>
      </c>
      <c r="H44" s="158"/>
      <c r="I44" s="158"/>
      <c r="J44" s="159"/>
      <c r="K44" s="165"/>
      <c r="L44" s="165"/>
      <c r="M44" s="166"/>
      <c r="N44" s="165"/>
      <c r="O44" s="147"/>
      <c r="P44" s="165"/>
      <c r="Q44" s="166"/>
      <c r="R44" s="147"/>
    </row>
    <row r="45" spans="2:23" ht="22" customHeight="1">
      <c r="B45" s="1000"/>
      <c r="C45" s="163" t="s">
        <v>79</v>
      </c>
      <c r="D45" s="85">
        <v>0.5</v>
      </c>
      <c r="E45" s="164"/>
      <c r="F45" s="158"/>
      <c r="G45" s="158" t="str">
        <f>IF(Tabel82[[#This Row],[Kolonne2]]&gt;0,$E45*$D44,"")</f>
        <v/>
      </c>
      <c r="H45" s="180" t="str">
        <f>IF(Tabel82[[#This Row],[Kolonne1]]&gt;0,$E45*$D44,"")</f>
        <v/>
      </c>
      <c r="I45" s="158"/>
      <c r="J45" s="159"/>
      <c r="K45" s="165"/>
      <c r="L45" s="165"/>
      <c r="M45" s="166"/>
      <c r="N45" s="165"/>
      <c r="O45" s="147"/>
      <c r="P45" s="165"/>
      <c r="Q45" s="166"/>
      <c r="R45" s="147"/>
    </row>
    <row r="46" spans="2:23" ht="22" customHeight="1">
      <c r="B46" s="1000"/>
      <c r="C46" s="155" t="s">
        <v>80</v>
      </c>
      <c r="D46" s="156">
        <v>0.5</v>
      </c>
      <c r="E46" s="157"/>
      <c r="F46" s="158"/>
      <c r="G46" s="158" t="str">
        <f>IF(Tabel82[[#This Row],[Kolonne2]]&gt;0,$E46*$D45,"")</f>
        <v/>
      </c>
      <c r="H46" s="158"/>
      <c r="I46" s="180" t="str">
        <f>IF(Tabel82[[#This Row],[Kolonne1]]&gt;0,$E46*$D45,"")</f>
        <v/>
      </c>
      <c r="J46" s="159"/>
      <c r="K46" s="165"/>
      <c r="L46" s="165"/>
      <c r="M46" s="166"/>
      <c r="N46" s="165"/>
      <c r="O46" s="147"/>
      <c r="P46" s="165"/>
      <c r="Q46" s="166"/>
      <c r="R46" s="147"/>
    </row>
    <row r="47" spans="2:23" ht="22" customHeight="1">
      <c r="B47" s="1001"/>
      <c r="C47" s="176" t="s">
        <v>81</v>
      </c>
      <c r="D47" s="177">
        <v>0.5</v>
      </c>
      <c r="E47" s="181"/>
      <c r="F47" s="170"/>
      <c r="G47" s="170" t="str">
        <f>IF(Tabel82[[#This Row],[Kolonne2]]&gt;0,$E47*$D46,"")</f>
        <v/>
      </c>
      <c r="H47" s="170"/>
      <c r="I47" s="170"/>
      <c r="J47" s="182" t="str">
        <f>IF(Tabel82[[#This Row],[Kolonne1]]&gt;0,$E47*$D46,"")</f>
        <v/>
      </c>
      <c r="K47" s="165"/>
      <c r="L47" s="165"/>
      <c r="M47" s="166"/>
      <c r="N47" s="165"/>
      <c r="O47" s="147"/>
      <c r="P47" s="165"/>
      <c r="Q47" s="166"/>
      <c r="R47" s="147"/>
    </row>
    <row r="48" spans="2:23" ht="16.5" customHeight="1">
      <c r="B48" s="996" t="s">
        <v>76</v>
      </c>
      <c r="C48" s="155" t="s">
        <v>77</v>
      </c>
      <c r="D48" s="156">
        <v>0.5</v>
      </c>
      <c r="E48" s="183"/>
      <c r="F48" s="184" t="str">
        <f>IF(E48&gt;0,D48*E48,"")</f>
        <v/>
      </c>
      <c r="G48" s="184" t="str">
        <f>""</f>
        <v/>
      </c>
      <c r="H48" s="184" t="str">
        <f>""</f>
        <v/>
      </c>
      <c r="I48" s="184" t="str">
        <f>""</f>
        <v/>
      </c>
      <c r="J48" s="185" t="str">
        <f>""</f>
        <v/>
      </c>
    </row>
    <row r="49" spans="2:20">
      <c r="B49" s="997"/>
      <c r="C49" s="163" t="s">
        <v>78</v>
      </c>
      <c r="D49" s="85">
        <v>0.5</v>
      </c>
      <c r="E49" s="186"/>
      <c r="F49" s="180" t="str">
        <f>""</f>
        <v/>
      </c>
      <c r="G49" s="180" t="str">
        <f>IF(E49&gt;0,D49*E49,"")</f>
        <v/>
      </c>
      <c r="H49" s="180" t="str">
        <f>""</f>
        <v/>
      </c>
      <c r="I49" s="180" t="str">
        <f>""</f>
        <v/>
      </c>
      <c r="J49" s="187" t="str">
        <f>""</f>
        <v/>
      </c>
    </row>
    <row r="50" spans="2:20">
      <c r="B50" s="997"/>
      <c r="C50" s="155" t="s">
        <v>79</v>
      </c>
      <c r="D50" s="156">
        <v>0.5</v>
      </c>
      <c r="E50" s="183"/>
      <c r="F50" s="184" t="str">
        <f>""</f>
        <v/>
      </c>
      <c r="G50" s="184" t="str">
        <f>""</f>
        <v/>
      </c>
      <c r="H50" s="184" t="str">
        <f>IF(E50&gt;0,D50*E50,"")</f>
        <v/>
      </c>
      <c r="I50" s="184" t="str">
        <f>""</f>
        <v/>
      </c>
      <c r="J50" s="185" t="str">
        <f>""</f>
        <v/>
      </c>
    </row>
    <row r="51" spans="2:20">
      <c r="B51" s="997"/>
      <c r="C51" s="163" t="s">
        <v>80</v>
      </c>
      <c r="D51" s="85">
        <v>0.5</v>
      </c>
      <c r="E51" s="186"/>
      <c r="F51" s="180" t="str">
        <f>""</f>
        <v/>
      </c>
      <c r="G51" s="180" t="str">
        <f>""</f>
        <v/>
      </c>
      <c r="H51" s="180" t="str">
        <f>""</f>
        <v/>
      </c>
      <c r="I51" s="180" t="str">
        <f>IF(E51&gt;0,D51*E51,"")</f>
        <v/>
      </c>
      <c r="J51" s="187" t="str">
        <f>""</f>
        <v/>
      </c>
    </row>
    <row r="52" spans="2:20" ht="18.5">
      <c r="B52" s="998"/>
      <c r="C52" s="167" t="s">
        <v>81</v>
      </c>
      <c r="D52" s="168">
        <v>0.5</v>
      </c>
      <c r="E52" s="188"/>
      <c r="F52" s="189" t="str">
        <f>""</f>
        <v/>
      </c>
      <c r="G52" s="189" t="str">
        <f>""</f>
        <v/>
      </c>
      <c r="H52" s="189" t="str">
        <f>""</f>
        <v/>
      </c>
      <c r="I52" s="189" t="str">
        <f>""</f>
        <v/>
      </c>
      <c r="J52" s="190" t="str">
        <f>IF(E52&gt;0,D52*E52,"")</f>
        <v/>
      </c>
      <c r="T52" s="91" t="s">
        <v>165</v>
      </c>
    </row>
    <row r="53" spans="2:20">
      <c r="F53" s="64"/>
      <c r="G53" s="64"/>
      <c r="H53" s="64"/>
      <c r="I53" s="64"/>
      <c r="J53" s="65"/>
    </row>
    <row r="54" spans="2:20">
      <c r="F54" s="64"/>
      <c r="G54" s="64"/>
      <c r="H54" s="64"/>
      <c r="I54" s="64"/>
      <c r="J54" s="65"/>
    </row>
    <row r="55" spans="2:20">
      <c r="F55" s="64"/>
      <c r="G55" s="64"/>
      <c r="H55" s="64"/>
      <c r="I55" s="64"/>
      <c r="J55" s="65"/>
    </row>
    <row r="56" spans="2:20">
      <c r="F56" s="64"/>
      <c r="G56" s="64"/>
      <c r="H56" s="64"/>
      <c r="I56" s="64"/>
      <c r="J56" s="65"/>
    </row>
    <row r="57" spans="2:20">
      <c r="F57" s="64"/>
      <c r="G57" s="64"/>
      <c r="H57" s="64"/>
      <c r="I57" s="64"/>
      <c r="J57" s="65"/>
    </row>
    <row r="58" spans="2:20">
      <c r="F58" s="64"/>
      <c r="G58" s="64"/>
      <c r="H58" s="64"/>
      <c r="I58" s="64"/>
      <c r="J58" s="65"/>
    </row>
    <row r="59" spans="2:20">
      <c r="F59" s="64"/>
      <c r="G59" s="64"/>
      <c r="H59" s="64"/>
      <c r="I59" s="64"/>
      <c r="J59" s="65"/>
    </row>
    <row r="60" spans="2:20">
      <c r="F60" s="64"/>
      <c r="G60" s="64"/>
      <c r="H60" s="64"/>
      <c r="I60" s="64"/>
      <c r="J60" s="65"/>
    </row>
    <row r="61" spans="2:20">
      <c r="F61" s="64"/>
      <c r="G61" s="64"/>
      <c r="H61" s="64"/>
      <c r="I61" s="64"/>
      <c r="J61" s="65"/>
    </row>
    <row r="62" spans="2:20">
      <c r="F62" s="64"/>
      <c r="G62" s="64"/>
      <c r="H62" s="64"/>
      <c r="I62" s="64"/>
      <c r="J62" s="65"/>
    </row>
    <row r="63" spans="2:20">
      <c r="F63" s="64"/>
      <c r="G63" s="64"/>
      <c r="H63" s="64"/>
      <c r="I63" s="64"/>
      <c r="J63" s="65"/>
    </row>
    <row r="64" spans="2:20">
      <c r="F64" s="64"/>
      <c r="G64" s="64"/>
      <c r="H64" s="64"/>
      <c r="I64" s="64"/>
      <c r="J64" s="65"/>
    </row>
    <row r="65" spans="6:10">
      <c r="F65" s="64"/>
      <c r="G65" s="64"/>
      <c r="H65" s="64"/>
      <c r="I65" s="64"/>
      <c r="J65" s="65"/>
    </row>
    <row r="66" spans="6:10">
      <c r="F66" s="64"/>
      <c r="G66" s="64"/>
      <c r="H66" s="64"/>
      <c r="I66" s="64"/>
      <c r="J66" s="65"/>
    </row>
    <row r="67" spans="6:10">
      <c r="F67" s="64"/>
      <c r="G67" s="64"/>
      <c r="H67" s="64"/>
      <c r="I67" s="64"/>
      <c r="J67" s="65"/>
    </row>
    <row r="68" spans="6:10">
      <c r="F68" s="64"/>
      <c r="G68" s="64"/>
      <c r="H68" s="64"/>
      <c r="I68" s="64"/>
      <c r="J68" s="65"/>
    </row>
    <row r="69" spans="6:10">
      <c r="F69" s="64"/>
      <c r="G69" s="64"/>
      <c r="H69" s="64"/>
      <c r="I69" s="64"/>
      <c r="J69" s="65"/>
    </row>
    <row r="70" spans="6:10">
      <c r="F70" s="64"/>
      <c r="G70" s="64"/>
      <c r="H70" s="64"/>
      <c r="I70" s="64"/>
      <c r="J70" s="65"/>
    </row>
    <row r="71" spans="6:10">
      <c r="F71" s="64"/>
      <c r="G71" s="64"/>
      <c r="H71" s="64"/>
      <c r="I71" s="64"/>
      <c r="J71" s="65"/>
    </row>
    <row r="72" spans="6:10">
      <c r="F72" s="64"/>
      <c r="G72" s="64"/>
      <c r="H72" s="64"/>
      <c r="I72" s="64"/>
      <c r="J72" s="65"/>
    </row>
    <row r="73" spans="6:10">
      <c r="F73" s="64"/>
      <c r="G73" s="64"/>
      <c r="H73" s="64"/>
      <c r="I73" s="64"/>
      <c r="J73" s="65"/>
    </row>
    <row r="74" spans="6:10">
      <c r="F74" s="64"/>
      <c r="G74" s="64"/>
      <c r="H74" s="64"/>
      <c r="I74" s="64"/>
      <c r="J74" s="65"/>
    </row>
    <row r="75" spans="6:10">
      <c r="F75" s="64"/>
      <c r="G75" s="64"/>
      <c r="H75" s="64"/>
      <c r="I75" s="64"/>
      <c r="J75" s="65"/>
    </row>
    <row r="76" spans="6:10">
      <c r="F76" s="64"/>
      <c r="G76" s="64"/>
      <c r="H76" s="64"/>
      <c r="I76" s="64"/>
      <c r="J76" s="65"/>
    </row>
    <row r="77" spans="6:10">
      <c r="F77" s="64"/>
      <c r="G77" s="64"/>
      <c r="H77" s="64"/>
      <c r="I77" s="64"/>
      <c r="J77" s="65"/>
    </row>
    <row r="78" spans="6:10">
      <c r="F78" s="64"/>
      <c r="G78" s="64"/>
      <c r="H78" s="64"/>
      <c r="I78" s="64"/>
      <c r="J78" s="65"/>
    </row>
    <row r="79" spans="6:10">
      <c r="F79" s="64"/>
      <c r="G79" s="64"/>
      <c r="H79" s="64"/>
      <c r="I79" s="64"/>
      <c r="J79" s="65"/>
    </row>
    <row r="80" spans="6:10">
      <c r="F80" s="64"/>
      <c r="G80" s="64"/>
      <c r="H80" s="64"/>
      <c r="I80" s="64"/>
      <c r="J80" s="65"/>
    </row>
    <row r="81" spans="6:10">
      <c r="F81" s="64"/>
      <c r="G81" s="64"/>
      <c r="H81" s="64"/>
      <c r="I81" s="64"/>
      <c r="J81" s="65"/>
    </row>
    <row r="82" spans="6:10">
      <c r="F82" s="64"/>
      <c r="G82" s="64"/>
      <c r="H82" s="64"/>
      <c r="I82" s="64"/>
      <c r="J82" s="65"/>
    </row>
    <row r="83" spans="6:10">
      <c r="J83" s="65"/>
    </row>
    <row r="84" spans="6:10">
      <c r="J84" s="65"/>
    </row>
    <row r="85" spans="6:10">
      <c r="J85" s="65"/>
    </row>
    <row r="86" spans="6:10">
      <c r="J86" s="65"/>
    </row>
    <row r="87" spans="6:10">
      <c r="J87" s="65"/>
    </row>
    <row r="88" spans="6:10">
      <c r="J88" s="65"/>
    </row>
    <row r="89" spans="6:10">
      <c r="J89" s="65"/>
    </row>
    <row r="90" spans="6:10">
      <c r="J90" s="65"/>
    </row>
    <row r="91" spans="6:10">
      <c r="J91" s="65"/>
    </row>
    <row r="92" spans="6:10">
      <c r="J92" s="65"/>
    </row>
    <row r="93" spans="6:10">
      <c r="J93" s="65"/>
    </row>
    <row r="94" spans="6:10">
      <c r="J94" s="65"/>
    </row>
    <row r="95" spans="6:10">
      <c r="J95" s="65"/>
    </row>
    <row r="96" spans="6:10">
      <c r="J96" s="65"/>
    </row>
    <row r="97" spans="10:10">
      <c r="J97" s="65"/>
    </row>
    <row r="98" spans="10:10">
      <c r="J98" s="65"/>
    </row>
    <row r="99" spans="10:10">
      <c r="J99" s="65"/>
    </row>
    <row r="100" spans="10:10">
      <c r="J100" s="65"/>
    </row>
    <row r="101" spans="10:10">
      <c r="J101" s="65"/>
    </row>
    <row r="102" spans="10:10">
      <c r="J102" s="65"/>
    </row>
    <row r="103" spans="10:10">
      <c r="J103" s="65"/>
    </row>
    <row r="104" spans="10:10">
      <c r="J104" s="65"/>
    </row>
    <row r="105" spans="10:10">
      <c r="J105" s="65"/>
    </row>
    <row r="106" spans="10:10">
      <c r="J106" s="65"/>
    </row>
    <row r="107" spans="10:10">
      <c r="J107" s="65"/>
    </row>
    <row r="108" spans="10:10">
      <c r="J108" s="65"/>
    </row>
    <row r="109" spans="10:10">
      <c r="J109" s="65"/>
    </row>
    <row r="110" spans="10:10">
      <c r="J110" s="65"/>
    </row>
    <row r="111" spans="10:10">
      <c r="J111" s="65"/>
    </row>
    <row r="112" spans="10:10">
      <c r="J112" s="65"/>
    </row>
    <row r="113" spans="10:10">
      <c r="J113" s="65"/>
    </row>
    <row r="114" spans="10:10">
      <c r="J114" s="65"/>
    </row>
    <row r="115" spans="10:10">
      <c r="J115" s="65"/>
    </row>
    <row r="116" spans="10:10">
      <c r="J116" s="65"/>
    </row>
    <row r="117" spans="10:10">
      <c r="J117" s="65"/>
    </row>
    <row r="118" spans="10:10">
      <c r="J118" s="65"/>
    </row>
    <row r="119" spans="10:10">
      <c r="J119" s="65"/>
    </row>
    <row r="120" spans="10:10">
      <c r="J120" s="65"/>
    </row>
    <row r="121" spans="10:10">
      <c r="J121" s="65"/>
    </row>
    <row r="122" spans="10:10">
      <c r="J122" s="65"/>
    </row>
    <row r="123" spans="10:10">
      <c r="J123" s="65"/>
    </row>
    <row r="124" spans="10:10">
      <c r="J124" s="65"/>
    </row>
    <row r="125" spans="10:10">
      <c r="J125" s="65"/>
    </row>
    <row r="126" spans="10:10">
      <c r="J126" s="65"/>
    </row>
    <row r="127" spans="10:10">
      <c r="J127" s="65"/>
    </row>
    <row r="128" spans="10:10">
      <c r="J128" s="65"/>
    </row>
    <row r="129" spans="10:10">
      <c r="J129" s="65"/>
    </row>
    <row r="130" spans="10:10">
      <c r="J130" s="65"/>
    </row>
    <row r="131" spans="10:10">
      <c r="J131" s="65"/>
    </row>
    <row r="132" spans="10:10">
      <c r="J132" s="65"/>
    </row>
    <row r="133" spans="10:10">
      <c r="J133" s="65"/>
    </row>
    <row r="134" spans="10:10">
      <c r="J134" s="65"/>
    </row>
    <row r="135" spans="10:10">
      <c r="J135" s="65"/>
    </row>
    <row r="136" spans="10:10">
      <c r="J136" s="65"/>
    </row>
    <row r="137" spans="10:10">
      <c r="J137" s="65"/>
    </row>
    <row r="138" spans="10:10">
      <c r="J138" s="65"/>
    </row>
    <row r="139" spans="10:10">
      <c r="J139" s="65"/>
    </row>
    <row r="140" spans="10:10">
      <c r="J140" s="65"/>
    </row>
    <row r="141" spans="10:10">
      <c r="J141" s="65"/>
    </row>
    <row r="142" spans="10:10">
      <c r="J142" s="191"/>
    </row>
    <row r="143" spans="10:10">
      <c r="J143" s="191"/>
    </row>
    <row r="144" spans="10:10">
      <c r="J144" s="191"/>
    </row>
    <row r="145" spans="10:10">
      <c r="J145" s="191"/>
    </row>
    <row r="146" spans="10:10">
      <c r="J146" s="191"/>
    </row>
    <row r="147" spans="10:10">
      <c r="J147" s="191"/>
    </row>
    <row r="148" spans="10:10">
      <c r="J148" s="191"/>
    </row>
    <row r="149" spans="10:10">
      <c r="J149" s="191"/>
    </row>
    <row r="150" spans="10:10">
      <c r="J150" s="191"/>
    </row>
    <row r="151" spans="10:10">
      <c r="J151" s="191"/>
    </row>
    <row r="152" spans="10:10">
      <c r="J152" s="191"/>
    </row>
    <row r="153" spans="10:10">
      <c r="J153" s="191"/>
    </row>
    <row r="154" spans="10:10">
      <c r="J154" s="191"/>
    </row>
    <row r="155" spans="10:10">
      <c r="J155" s="191"/>
    </row>
    <row r="156" spans="10:10">
      <c r="J156" s="191"/>
    </row>
    <row r="157" spans="10:10">
      <c r="J157" s="191"/>
    </row>
    <row r="158" spans="10:10">
      <c r="J158" s="191"/>
    </row>
    <row r="159" spans="10:10">
      <c r="J159" s="191"/>
    </row>
    <row r="160" spans="10:10">
      <c r="J160" s="191"/>
    </row>
    <row r="161" spans="10:10">
      <c r="J161" s="191"/>
    </row>
    <row r="162" spans="10:10">
      <c r="J162" s="191"/>
    </row>
    <row r="163" spans="10:10">
      <c r="J163" s="191"/>
    </row>
    <row r="164" spans="10:10">
      <c r="J164" s="191"/>
    </row>
    <row r="165" spans="10:10">
      <c r="J165" s="191"/>
    </row>
    <row r="166" spans="10:10">
      <c r="J166" s="191"/>
    </row>
    <row r="167" spans="10:10">
      <c r="J167" s="191"/>
    </row>
    <row r="168" spans="10:10">
      <c r="J168" s="191"/>
    </row>
    <row r="169" spans="10:10">
      <c r="J169" s="191"/>
    </row>
    <row r="170" spans="10:10">
      <c r="J170" s="191"/>
    </row>
    <row r="171" spans="10:10">
      <c r="J171" s="191"/>
    </row>
    <row r="172" spans="10:10">
      <c r="J172" s="191"/>
    </row>
    <row r="173" spans="10:10">
      <c r="J173" s="191"/>
    </row>
    <row r="174" spans="10:10">
      <c r="J174" s="191"/>
    </row>
    <row r="175" spans="10:10">
      <c r="J175" s="191"/>
    </row>
    <row r="176" spans="10:10">
      <c r="J176" s="191"/>
    </row>
    <row r="177" spans="10:10">
      <c r="J177" s="191"/>
    </row>
    <row r="178" spans="10:10">
      <c r="J178" s="191"/>
    </row>
    <row r="179" spans="10:10">
      <c r="J179" s="191"/>
    </row>
    <row r="180" spans="10:10">
      <c r="J180" s="191"/>
    </row>
    <row r="181" spans="10:10">
      <c r="J181" s="191"/>
    </row>
    <row r="182" spans="10:10">
      <c r="J182" s="191"/>
    </row>
    <row r="183" spans="10:10">
      <c r="J183" s="191"/>
    </row>
    <row r="184" spans="10:10">
      <c r="J184" s="191"/>
    </row>
    <row r="185" spans="10:10">
      <c r="J185" s="191"/>
    </row>
    <row r="186" spans="10:10">
      <c r="J186" s="191"/>
    </row>
    <row r="187" spans="10:10">
      <c r="J187" s="191"/>
    </row>
    <row r="188" spans="10:10">
      <c r="J188" s="191"/>
    </row>
    <row r="189" spans="10:10">
      <c r="J189" s="191"/>
    </row>
    <row r="190" spans="10:10">
      <c r="J190" s="191"/>
    </row>
    <row r="191" spans="10:10">
      <c r="J191" s="191"/>
    </row>
    <row r="192" spans="10:10">
      <c r="J192" s="191"/>
    </row>
    <row r="193" spans="10:10">
      <c r="J193" s="191"/>
    </row>
    <row r="194" spans="10:10">
      <c r="J194" s="191"/>
    </row>
    <row r="195" spans="10:10">
      <c r="J195" s="191"/>
    </row>
    <row r="196" spans="10:10">
      <c r="J196" s="191"/>
    </row>
    <row r="197" spans="10:10">
      <c r="J197" s="191"/>
    </row>
    <row r="198" spans="10:10">
      <c r="J198" s="191"/>
    </row>
    <row r="199" spans="10:10">
      <c r="J199" s="191"/>
    </row>
    <row r="200" spans="10:10">
      <c r="J200" s="191"/>
    </row>
    <row r="201" spans="10:10">
      <c r="J201" s="191"/>
    </row>
    <row r="202" spans="10:10">
      <c r="J202" s="191"/>
    </row>
    <row r="203" spans="10:10">
      <c r="J203" s="191"/>
    </row>
    <row r="204" spans="10:10">
      <c r="J204" s="191"/>
    </row>
    <row r="205" spans="10:10">
      <c r="J205" s="191"/>
    </row>
    <row r="206" spans="10:10">
      <c r="J206" s="191"/>
    </row>
    <row r="207" spans="10:10">
      <c r="J207" s="191"/>
    </row>
    <row r="208" spans="10:10">
      <c r="J208" s="191"/>
    </row>
    <row r="209" spans="10:10">
      <c r="J209" s="191"/>
    </row>
    <row r="210" spans="10:10">
      <c r="J210" s="191"/>
    </row>
    <row r="211" spans="10:10">
      <c r="J211" s="191"/>
    </row>
    <row r="212" spans="10:10">
      <c r="J212" s="191"/>
    </row>
    <row r="213" spans="10:10">
      <c r="J213" s="191"/>
    </row>
    <row r="214" spans="10:10">
      <c r="J214" s="191"/>
    </row>
    <row r="215" spans="10:10">
      <c r="J215" s="191"/>
    </row>
    <row r="216" spans="10:10">
      <c r="J216" s="191"/>
    </row>
    <row r="217" spans="10:10">
      <c r="J217" s="191"/>
    </row>
    <row r="218" spans="10:10">
      <c r="J218" s="191"/>
    </row>
    <row r="219" spans="10:10">
      <c r="J219" s="191"/>
    </row>
    <row r="220" spans="10:10">
      <c r="J220" s="191"/>
    </row>
    <row r="221" spans="10:10">
      <c r="J221" s="191"/>
    </row>
    <row r="222" spans="10:10">
      <c r="J222" s="191"/>
    </row>
    <row r="223" spans="10:10">
      <c r="J223" s="191"/>
    </row>
    <row r="224" spans="10:10">
      <c r="J224" s="191"/>
    </row>
    <row r="225" spans="10:10">
      <c r="J225" s="191"/>
    </row>
    <row r="226" spans="10:10">
      <c r="J226" s="191"/>
    </row>
    <row r="227" spans="10:10">
      <c r="J227" s="191"/>
    </row>
    <row r="228" spans="10:10">
      <c r="J228" s="191"/>
    </row>
    <row r="229" spans="10:10">
      <c r="J229" s="191"/>
    </row>
    <row r="230" spans="10:10">
      <c r="J230" s="191"/>
    </row>
    <row r="231" spans="10:10">
      <c r="J231" s="191"/>
    </row>
    <row r="232" spans="10:10">
      <c r="J232" s="191"/>
    </row>
    <row r="233" spans="10:10">
      <c r="J233" s="191"/>
    </row>
    <row r="234" spans="10:10">
      <c r="J234" s="191"/>
    </row>
    <row r="235" spans="10:10">
      <c r="J235" s="191"/>
    </row>
    <row r="236" spans="10:10">
      <c r="J236" s="191"/>
    </row>
    <row r="237" spans="10:10">
      <c r="J237" s="191"/>
    </row>
    <row r="238" spans="10:10">
      <c r="J238" s="191"/>
    </row>
    <row r="239" spans="10:10">
      <c r="J239" s="191"/>
    </row>
    <row r="240" spans="10:10">
      <c r="J240" s="191"/>
    </row>
    <row r="241" spans="10:10">
      <c r="J241" s="191"/>
    </row>
    <row r="242" spans="10:10">
      <c r="J242" s="191"/>
    </row>
    <row r="243" spans="10:10">
      <c r="J243" s="191"/>
    </row>
    <row r="244" spans="10:10">
      <c r="J244" s="191"/>
    </row>
    <row r="245" spans="10:10">
      <c r="J245" s="191"/>
    </row>
    <row r="246" spans="10:10">
      <c r="J246" s="191"/>
    </row>
    <row r="247" spans="10:10">
      <c r="J247" s="191"/>
    </row>
    <row r="248" spans="10:10">
      <c r="J248" s="191"/>
    </row>
    <row r="249" spans="10:10">
      <c r="J249" s="191"/>
    </row>
    <row r="250" spans="10:10">
      <c r="J250" s="191"/>
    </row>
    <row r="251" spans="10:10">
      <c r="J251" s="191"/>
    </row>
    <row r="252" spans="10:10">
      <c r="J252" s="191"/>
    </row>
    <row r="253" spans="10:10">
      <c r="J253" s="191"/>
    </row>
    <row r="254" spans="10:10">
      <c r="J254" s="191"/>
    </row>
    <row r="255" spans="10:10">
      <c r="J255" s="191"/>
    </row>
    <row r="256" spans="10:10">
      <c r="J256" s="191"/>
    </row>
  </sheetData>
  <protectedRanges>
    <protectedRange sqref="E28:E47" name="Område3"/>
    <protectedRange sqref="E48:E52" name="Område3_5"/>
  </protectedRanges>
  <mergeCells count="20">
    <mergeCell ref="B48:B52"/>
    <mergeCell ref="B28:B32"/>
    <mergeCell ref="B33:B37"/>
    <mergeCell ref="B38:B42"/>
    <mergeCell ref="B43:B47"/>
    <mergeCell ref="B15:C20"/>
    <mergeCell ref="F22:F27"/>
    <mergeCell ref="G22:G27"/>
    <mergeCell ref="H22:H27"/>
    <mergeCell ref="K26:L26"/>
    <mergeCell ref="T29:Z30"/>
    <mergeCell ref="W4:Z4"/>
    <mergeCell ref="T2:Z2"/>
    <mergeCell ref="G5:M5"/>
    <mergeCell ref="W6:Z6"/>
    <mergeCell ref="M26:O26"/>
    <mergeCell ref="P26:R26"/>
    <mergeCell ref="K25:R25"/>
    <mergeCell ref="I22:I27"/>
    <mergeCell ref="J22:J27"/>
  </mergeCells>
  <pageMargins left="0.23622047244094491" right="0.23622047244094491" top="7.0729166666666662E-2" bottom="0.74803149606299213" header="0.31496062992125984" footer="0.31496062992125984"/>
  <pageSetup paperSize="8" scale="62" fitToHeight="0"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52413-FCB8-48F8-9779-836C36542D73}">
  <sheetPr>
    <tabColor theme="9" tint="0.59999389629810485"/>
    <pageSetUpPr fitToPage="1"/>
  </sheetPr>
  <dimension ref="B1:W257"/>
  <sheetViews>
    <sheetView showGridLines="0" zoomScaleNormal="100" zoomScalePageLayoutView="50" workbookViewId="0"/>
  </sheetViews>
  <sheetFormatPr defaultColWidth="9.1796875" defaultRowHeight="15.5"/>
  <cols>
    <col min="2" max="2" width="23.36328125" style="63" customWidth="1"/>
    <col min="3" max="3" width="20.453125" customWidth="1"/>
    <col min="4" max="4" width="26.6328125" customWidth="1"/>
    <col min="5" max="5" width="22.6328125" customWidth="1"/>
    <col min="6" max="6" width="26.81640625" customWidth="1"/>
    <col min="7" max="7" width="27.36328125" style="141" customWidth="1"/>
    <col min="8" max="8" width="16.6328125" style="66" hidden="1" customWidth="1"/>
    <col min="9" max="9" width="15.36328125" style="66" hidden="1" customWidth="1"/>
    <col min="10" max="10" width="10.1796875" style="67" hidden="1" customWidth="1"/>
    <col min="11" max="11" width="11.453125" style="66" hidden="1" customWidth="1"/>
    <col min="12" max="12" width="11" style="68" hidden="1" customWidth="1"/>
    <col min="13" max="13" width="11" style="66" hidden="1" customWidth="1"/>
    <col min="14" max="14" width="11" style="67" hidden="1" customWidth="1"/>
    <col min="15" max="15" width="1.81640625" style="68" hidden="1" customWidth="1"/>
    <col min="16" max="16" width="1.453125" style="138" customWidth="1"/>
  </cols>
  <sheetData>
    <row r="1" spans="2:23">
      <c r="B1"/>
      <c r="G1"/>
      <c r="H1"/>
      <c r="I1"/>
      <c r="J1"/>
      <c r="K1"/>
      <c r="L1"/>
      <c r="M1"/>
      <c r="N1"/>
      <c r="O1"/>
    </row>
    <row r="2" spans="2:23" ht="60" customHeight="1">
      <c r="B2" s="976" t="s">
        <v>46</v>
      </c>
      <c r="C2" s="976"/>
      <c r="D2" s="976"/>
      <c r="E2" s="976"/>
      <c r="F2" s="976"/>
      <c r="G2" s="976"/>
      <c r="H2" s="136"/>
      <c r="I2" s="136"/>
      <c r="J2" s="136"/>
      <c r="K2" s="136"/>
      <c r="L2" s="136"/>
      <c r="M2" s="136"/>
      <c r="N2" s="136"/>
      <c r="O2" s="136"/>
      <c r="P2" s="137"/>
      <c r="Q2" s="136"/>
      <c r="R2" s="136"/>
      <c r="S2" s="136"/>
      <c r="T2" s="134" t="s">
        <v>164</v>
      </c>
      <c r="U2" s="136"/>
      <c r="V2" s="136"/>
      <c r="W2" s="136"/>
    </row>
    <row r="3" spans="2:23" ht="5" customHeight="1">
      <c r="B3"/>
      <c r="G3"/>
      <c r="H3"/>
      <c r="I3"/>
      <c r="J3"/>
      <c r="K3"/>
      <c r="L3"/>
      <c r="M3"/>
      <c r="N3"/>
      <c r="O3"/>
    </row>
    <row r="4" spans="2:23" ht="18" customHeight="1">
      <c r="B4" s="234" t="s">
        <v>211</v>
      </c>
      <c r="C4" s="244">
        <f>Forestillingstitel</f>
        <v>0</v>
      </c>
      <c r="D4" s="234"/>
      <c r="E4" s="234"/>
      <c r="F4" s="966"/>
      <c r="G4" s="966"/>
      <c r="H4" s="966"/>
      <c r="I4" s="87"/>
      <c r="J4" s="69"/>
      <c r="K4" s="86"/>
      <c r="L4" s="86"/>
      <c r="M4" s="87"/>
      <c r="N4" s="88"/>
      <c r="O4" s="89"/>
      <c r="P4" s="90"/>
      <c r="Q4" s="242"/>
      <c r="R4" s="242" t="s">
        <v>210</v>
      </c>
      <c r="S4" s="242"/>
      <c r="T4" s="1002">
        <f>TARGET</f>
        <v>0</v>
      </c>
      <c r="U4" s="1002"/>
      <c r="V4" s="1002"/>
      <c r="W4" s="1002"/>
    </row>
    <row r="5" spans="2:23" ht="18" customHeight="1">
      <c r="B5" s="234" t="s">
        <v>213</v>
      </c>
      <c r="C5" s="237">
        <f>KUNSTART</f>
        <v>0</v>
      </c>
      <c r="D5" s="234"/>
      <c r="E5" s="234"/>
      <c r="F5" s="966"/>
      <c r="G5" s="966"/>
      <c r="H5" s="966"/>
      <c r="I5" s="87"/>
      <c r="J5" s="69"/>
      <c r="K5" s="86"/>
      <c r="L5" s="86"/>
      <c r="M5" s="87"/>
      <c r="N5" s="88"/>
      <c r="O5" s="89"/>
      <c r="P5" s="90"/>
      <c r="Q5" s="983" t="s">
        <v>214</v>
      </c>
      <c r="R5" s="983"/>
      <c r="S5" s="983"/>
      <c r="T5" s="243"/>
      <c r="U5" s="243"/>
      <c r="V5" s="243"/>
      <c r="W5" s="236"/>
    </row>
    <row r="6" spans="2:23" ht="18" customHeight="1">
      <c r="B6" s="234" t="s">
        <v>212</v>
      </c>
      <c r="C6" s="237">
        <f>sæson</f>
        <v>0</v>
      </c>
      <c r="D6" s="234"/>
      <c r="E6" s="234"/>
      <c r="F6" s="234"/>
      <c r="G6" s="234"/>
      <c r="H6" s="241"/>
      <c r="I6" s="87"/>
      <c r="J6" s="69"/>
      <c r="K6" s="86"/>
      <c r="L6" s="86"/>
      <c r="M6" s="87"/>
      <c r="N6" s="88"/>
      <c r="O6" s="89"/>
      <c r="P6" s="90"/>
      <c r="Q6" s="1002" t="s">
        <v>204</v>
      </c>
      <c r="R6" s="1002"/>
      <c r="S6" s="1002"/>
      <c r="T6" s="1002">
        <f>_scenemester</f>
        <v>0</v>
      </c>
      <c r="U6" s="1002"/>
      <c r="V6" s="1002"/>
      <c r="W6" s="1002"/>
    </row>
    <row r="7" spans="2:23" ht="18" customHeight="1">
      <c r="B7" s="234"/>
      <c r="C7" s="237"/>
      <c r="D7" s="234"/>
      <c r="E7" s="234"/>
      <c r="F7" s="234"/>
      <c r="G7" s="234"/>
      <c r="H7" s="241"/>
      <c r="I7" s="87"/>
      <c r="J7" s="69"/>
      <c r="K7" s="86"/>
      <c r="L7" s="86"/>
      <c r="M7" s="87"/>
      <c r="N7" s="88"/>
      <c r="O7" s="89"/>
      <c r="P7" s="90"/>
      <c r="Q7" s="1002" t="s">
        <v>215</v>
      </c>
      <c r="R7" s="1002"/>
      <c r="S7" s="1002"/>
      <c r="T7" s="1002"/>
      <c r="U7" s="1002"/>
      <c r="V7" s="1002"/>
      <c r="W7" s="1002"/>
    </row>
    <row r="8" spans="2:23" ht="4.5" customHeight="1">
      <c r="B8" s="110"/>
      <c r="E8" s="64"/>
      <c r="F8" s="140"/>
      <c r="G8" s="140"/>
    </row>
    <row r="9" spans="2:23" ht="4.5" customHeight="1">
      <c r="F9" s="140"/>
      <c r="G9" s="140"/>
    </row>
    <row r="10" spans="2:23" ht="4.5" customHeight="1"/>
    <row r="16" spans="2:23" ht="16.5" customHeight="1"/>
    <row r="17" spans="2:23" ht="16.5" customHeight="1"/>
    <row r="19" spans="2:23">
      <c r="H19" s="143"/>
    </row>
    <row r="20" spans="2:23" s="148" customFormat="1">
      <c r="B20" s="144"/>
      <c r="C20" s="70">
        <f>SUM(C28:C48)</f>
        <v>0</v>
      </c>
      <c r="D20" s="71">
        <f>SUM(D28:D48)</f>
        <v>0</v>
      </c>
      <c r="E20" s="72">
        <f>SUM(E28:E48)</f>
        <v>0</v>
      </c>
      <c r="F20" s="73">
        <f>SUM(F28:F48)</f>
        <v>0</v>
      </c>
      <c r="G20" s="74">
        <f>SUM(G28:G48)</f>
        <v>0</v>
      </c>
      <c r="H20" s="143"/>
      <c r="I20" s="145"/>
      <c r="J20" s="146"/>
      <c r="K20" s="147"/>
      <c r="L20" s="147"/>
      <c r="M20" s="147"/>
      <c r="N20" s="147"/>
      <c r="O20" s="147"/>
      <c r="P20" s="138"/>
    </row>
    <row r="21" spans="2:23" ht="5.25" customHeight="1">
      <c r="G21" s="66"/>
    </row>
    <row r="22" spans="2:23" s="149" customFormat="1" ht="48" customHeight="1">
      <c r="B22" s="75" t="s">
        <v>49</v>
      </c>
      <c r="C22" s="76" t="s">
        <v>375</v>
      </c>
      <c r="D22" s="76" t="s">
        <v>376</v>
      </c>
      <c r="E22" s="76" t="s">
        <v>377</v>
      </c>
      <c r="F22" s="76" t="s">
        <v>370</v>
      </c>
      <c r="G22" s="76" t="s">
        <v>371</v>
      </c>
      <c r="H22" s="150"/>
      <c r="I22" s="150"/>
      <c r="J22" s="151"/>
      <c r="K22" s="150"/>
      <c r="L22" s="152"/>
      <c r="M22" s="150"/>
      <c r="N22" s="151"/>
      <c r="O22" s="152"/>
      <c r="P22" s="138"/>
    </row>
    <row r="23" spans="2:23" s="63" customFormat="1" ht="16" customHeight="1">
      <c r="C23" s="968" t="s">
        <v>60</v>
      </c>
      <c r="D23" s="968" t="s">
        <v>61</v>
      </c>
      <c r="E23" s="968" t="s">
        <v>154</v>
      </c>
      <c r="F23" s="968" t="s">
        <v>41</v>
      </c>
      <c r="G23" s="968" t="s">
        <v>42</v>
      </c>
      <c r="H23" s="66"/>
      <c r="I23" s="66"/>
      <c r="J23" s="67"/>
      <c r="K23" s="66"/>
      <c r="L23" s="68"/>
      <c r="M23" s="66"/>
      <c r="N23" s="67"/>
      <c r="O23" s="68"/>
      <c r="P23" s="138"/>
    </row>
    <row r="24" spans="2:23" s="63" customFormat="1">
      <c r="C24" s="971"/>
      <c r="D24" s="971"/>
      <c r="E24" s="969"/>
      <c r="F24" s="969"/>
      <c r="G24" s="969"/>
      <c r="H24" s="66"/>
      <c r="I24" s="66"/>
      <c r="J24" s="67"/>
      <c r="K24" s="66"/>
      <c r="L24" s="68"/>
      <c r="M24" s="66"/>
      <c r="N24" s="67"/>
      <c r="O24" s="68"/>
      <c r="P24" s="138"/>
    </row>
    <row r="25" spans="2:23" s="63" customFormat="1" ht="16.5" customHeight="1" thickBot="1">
      <c r="C25" s="971"/>
      <c r="D25" s="971"/>
      <c r="E25" s="969"/>
      <c r="F25" s="969"/>
      <c r="G25" s="969"/>
      <c r="H25" s="66"/>
      <c r="I25" s="66"/>
      <c r="J25" s="67"/>
      <c r="K25" s="66"/>
      <c r="L25" s="68"/>
      <c r="M25" s="66"/>
      <c r="N25" s="67"/>
      <c r="O25" s="68"/>
      <c r="P25" s="138"/>
    </row>
    <row r="26" spans="2:23" s="63" customFormat="1" ht="16.5" customHeight="1" thickBot="1">
      <c r="C26" s="972"/>
      <c r="D26" s="972"/>
      <c r="E26" s="970"/>
      <c r="F26" s="970"/>
      <c r="G26" s="970"/>
      <c r="H26" s="990" t="s">
        <v>11</v>
      </c>
      <c r="I26" s="991"/>
      <c r="J26" s="991"/>
      <c r="K26" s="991"/>
      <c r="L26" s="991"/>
      <c r="M26" s="991"/>
      <c r="N26" s="991"/>
      <c r="O26" s="992"/>
      <c r="P26" s="138"/>
    </row>
    <row r="27" spans="2:23" s="63" customFormat="1">
      <c r="C27" s="192"/>
      <c r="D27" s="192"/>
      <c r="E27" s="192"/>
      <c r="F27" s="192"/>
      <c r="G27" s="193"/>
      <c r="H27" s="986" t="s">
        <v>4</v>
      </c>
      <c r="I27" s="986"/>
      <c r="J27" s="985" t="s">
        <v>3</v>
      </c>
      <c r="K27" s="986"/>
      <c r="L27" s="986"/>
      <c r="M27" s="987" t="s">
        <v>10</v>
      </c>
      <c r="N27" s="988"/>
      <c r="O27" s="989"/>
      <c r="P27" s="138"/>
    </row>
    <row r="28" spans="2:23" ht="30" customHeight="1">
      <c r="B28" s="194" t="s">
        <v>59</v>
      </c>
      <c r="C28" s="195"/>
      <c r="D28" s="195"/>
      <c r="E28" s="195"/>
      <c r="F28" s="195"/>
      <c r="G28" s="65"/>
      <c r="H28" s="153" t="s">
        <v>0</v>
      </c>
      <c r="I28" s="153" t="s">
        <v>1</v>
      </c>
      <c r="J28" s="153" t="s">
        <v>8</v>
      </c>
      <c r="K28" s="153" t="s">
        <v>1</v>
      </c>
      <c r="L28" s="154" t="s">
        <v>2</v>
      </c>
      <c r="M28" s="153" t="s">
        <v>5</v>
      </c>
      <c r="N28" s="153" t="s">
        <v>7</v>
      </c>
      <c r="O28" s="154" t="s">
        <v>6</v>
      </c>
    </row>
    <row r="29" spans="2:23">
      <c r="B29" s="186"/>
      <c r="C29" s="196"/>
      <c r="D29" s="196"/>
      <c r="E29" s="196"/>
      <c r="F29" s="196"/>
      <c r="G29" s="197"/>
      <c r="H29" s="160"/>
      <c r="I29" s="160"/>
      <c r="J29" s="161"/>
      <c r="K29" s="160"/>
      <c r="L29" s="162">
        <v>40</v>
      </c>
      <c r="M29" s="160"/>
      <c r="N29" s="161"/>
      <c r="O29" s="162"/>
    </row>
    <row r="30" spans="2:23">
      <c r="B30" s="186"/>
      <c r="C30" s="196"/>
      <c r="D30" s="196"/>
      <c r="E30" s="196"/>
      <c r="F30" s="196"/>
      <c r="G30" s="197"/>
      <c r="H30" s="160"/>
      <c r="I30" s="160"/>
      <c r="J30" s="161"/>
      <c r="K30" s="160"/>
      <c r="L30" s="162"/>
      <c r="M30" s="160"/>
      <c r="N30" s="161"/>
      <c r="O30" s="162"/>
      <c r="Q30" s="965" t="s">
        <v>186</v>
      </c>
      <c r="R30" s="965"/>
      <c r="S30" s="965"/>
      <c r="T30" s="965"/>
      <c r="U30" s="965"/>
      <c r="V30" s="965"/>
      <c r="W30" s="965"/>
    </row>
    <row r="31" spans="2:23">
      <c r="B31" s="186"/>
      <c r="C31" s="196"/>
      <c r="D31" s="196"/>
      <c r="E31" s="196"/>
      <c r="F31" s="196"/>
      <c r="G31" s="197"/>
      <c r="H31" s="160"/>
      <c r="I31" s="160"/>
      <c r="J31" s="161"/>
      <c r="K31" s="160"/>
      <c r="L31" s="162"/>
      <c r="M31" s="160"/>
      <c r="N31" s="161"/>
      <c r="O31" s="162"/>
      <c r="Q31" s="965"/>
      <c r="R31" s="965"/>
      <c r="S31" s="965"/>
      <c r="T31" s="965"/>
      <c r="U31" s="965"/>
      <c r="V31" s="965"/>
      <c r="W31" s="965"/>
    </row>
    <row r="32" spans="2:23">
      <c r="B32" s="186"/>
      <c r="C32" s="196"/>
      <c r="D32" s="196"/>
      <c r="E32" s="196"/>
      <c r="F32" s="196"/>
      <c r="G32" s="197"/>
      <c r="H32" s="160"/>
      <c r="I32" s="160"/>
      <c r="J32" s="161"/>
      <c r="K32" s="160"/>
      <c r="L32" s="162"/>
      <c r="M32" s="160"/>
      <c r="N32" s="161"/>
      <c r="O32" s="162"/>
    </row>
    <row r="33" spans="2:20">
      <c r="B33" s="186"/>
      <c r="C33" s="196"/>
      <c r="D33" s="196"/>
      <c r="E33" s="196"/>
      <c r="F33" s="196"/>
      <c r="G33" s="197"/>
      <c r="H33" s="160"/>
      <c r="I33" s="160"/>
      <c r="J33" s="161"/>
      <c r="K33" s="160"/>
      <c r="L33" s="162"/>
      <c r="M33" s="160"/>
      <c r="N33" s="161"/>
      <c r="O33" s="162"/>
    </row>
    <row r="34" spans="2:20" ht="16.5" customHeight="1">
      <c r="B34" s="186"/>
      <c r="C34" s="196"/>
      <c r="D34" s="196"/>
      <c r="E34" s="196"/>
      <c r="F34" s="196"/>
      <c r="G34" s="197"/>
      <c r="H34" s="160"/>
      <c r="I34" s="160"/>
      <c r="J34" s="161"/>
      <c r="K34" s="160"/>
      <c r="L34" s="162"/>
      <c r="M34" s="160"/>
      <c r="N34" s="161"/>
      <c r="O34" s="162"/>
    </row>
    <row r="35" spans="2:20" ht="16.5" customHeight="1">
      <c r="B35" s="186"/>
      <c r="C35" s="196"/>
      <c r="D35" s="196"/>
      <c r="E35" s="196"/>
      <c r="F35" s="196"/>
      <c r="G35" s="197"/>
      <c r="H35" s="160"/>
      <c r="I35" s="175"/>
      <c r="J35" s="161"/>
      <c r="K35" s="160"/>
      <c r="L35" s="162"/>
      <c r="M35" s="160"/>
      <c r="N35" s="161"/>
      <c r="O35" s="162"/>
    </row>
    <row r="36" spans="2:20">
      <c r="B36" s="186"/>
      <c r="C36" s="196"/>
      <c r="D36" s="196"/>
      <c r="E36" s="196"/>
      <c r="F36" s="196"/>
      <c r="G36" s="197"/>
      <c r="H36" s="160"/>
      <c r="I36" s="160"/>
      <c r="J36" s="161"/>
      <c r="K36" s="160"/>
      <c r="L36" s="162"/>
      <c r="M36" s="160"/>
      <c r="N36" s="161" t="s">
        <v>9</v>
      </c>
      <c r="O36" s="162"/>
    </row>
    <row r="37" spans="2:20">
      <c r="B37" s="186"/>
      <c r="C37" s="196"/>
      <c r="D37" s="196"/>
      <c r="E37" s="196"/>
      <c r="F37" s="196"/>
      <c r="G37" s="197"/>
      <c r="H37" s="160"/>
      <c r="I37" s="160"/>
      <c r="J37" s="161"/>
      <c r="K37" s="160"/>
      <c r="L37" s="162">
        <v>6</v>
      </c>
      <c r="M37" s="160"/>
      <c r="N37" s="161"/>
      <c r="O37" s="162">
        <v>6</v>
      </c>
    </row>
    <row r="38" spans="2:20">
      <c r="B38" s="186"/>
      <c r="C38" s="196"/>
      <c r="D38" s="196"/>
      <c r="E38" s="196"/>
      <c r="F38" s="196"/>
      <c r="G38" s="197"/>
      <c r="H38" s="160"/>
      <c r="I38" s="160"/>
      <c r="J38" s="161"/>
      <c r="K38" s="160"/>
      <c r="L38" s="162">
        <v>40</v>
      </c>
      <c r="M38" s="160"/>
      <c r="N38" s="161" t="s">
        <v>9</v>
      </c>
      <c r="O38" s="162"/>
      <c r="S38" s="179"/>
      <c r="T38" s="179"/>
    </row>
    <row r="39" spans="2:20">
      <c r="B39" s="186"/>
      <c r="C39" s="196"/>
      <c r="D39" s="196"/>
      <c r="E39" s="196"/>
      <c r="F39" s="196"/>
      <c r="G39" s="197"/>
      <c r="H39" s="165"/>
      <c r="I39" s="165"/>
      <c r="J39" s="166"/>
      <c r="K39" s="165"/>
      <c r="L39" s="147"/>
      <c r="M39" s="165"/>
      <c r="N39" s="166"/>
      <c r="O39" s="147"/>
    </row>
    <row r="40" spans="2:20">
      <c r="B40" s="186"/>
      <c r="C40" s="196"/>
      <c r="D40" s="196"/>
      <c r="E40" s="196"/>
      <c r="F40" s="196"/>
      <c r="G40" s="197"/>
      <c r="H40" s="165"/>
      <c r="I40" s="165"/>
      <c r="J40" s="166"/>
      <c r="K40" s="165"/>
      <c r="L40" s="147"/>
      <c r="M40" s="165"/>
      <c r="N40" s="166"/>
      <c r="O40" s="147"/>
    </row>
    <row r="41" spans="2:20">
      <c r="B41" s="186"/>
      <c r="C41" s="196"/>
      <c r="D41" s="196"/>
      <c r="E41" s="196"/>
      <c r="F41" s="196"/>
      <c r="G41" s="197"/>
      <c r="H41" s="165"/>
      <c r="I41" s="165"/>
      <c r="J41" s="166"/>
      <c r="K41" s="165"/>
      <c r="L41" s="147"/>
      <c r="M41" s="165"/>
      <c r="N41" s="166"/>
      <c r="O41" s="147"/>
    </row>
    <row r="42" spans="2:20">
      <c r="B42" s="186"/>
      <c r="C42" s="196"/>
      <c r="D42" s="196"/>
      <c r="E42" s="196"/>
      <c r="F42" s="196"/>
      <c r="G42" s="197"/>
      <c r="H42" s="165"/>
      <c r="I42" s="165"/>
      <c r="J42" s="166"/>
      <c r="K42" s="165"/>
      <c r="L42" s="147"/>
      <c r="M42" s="165"/>
      <c r="N42" s="166"/>
      <c r="O42" s="147"/>
    </row>
    <row r="43" spans="2:20">
      <c r="B43" s="186"/>
      <c r="C43" s="196"/>
      <c r="D43" s="196"/>
      <c r="E43" s="196"/>
      <c r="F43" s="196"/>
      <c r="G43" s="197"/>
      <c r="H43" s="165"/>
      <c r="I43" s="165"/>
      <c r="J43" s="166"/>
      <c r="K43" s="165"/>
      <c r="L43" s="147"/>
      <c r="M43" s="165"/>
      <c r="N43" s="166"/>
      <c r="O43" s="147"/>
    </row>
    <row r="44" spans="2:20">
      <c r="B44" s="186"/>
      <c r="C44" s="196"/>
      <c r="D44" s="196"/>
      <c r="E44" s="196"/>
      <c r="F44" s="196"/>
      <c r="G44" s="197"/>
      <c r="H44" s="165"/>
      <c r="I44" s="165"/>
      <c r="J44" s="166"/>
      <c r="K44" s="165"/>
      <c r="L44" s="147"/>
      <c r="M44" s="165"/>
      <c r="N44" s="166"/>
      <c r="O44" s="147"/>
    </row>
    <row r="45" spans="2:20">
      <c r="B45" s="186"/>
      <c r="C45" s="196"/>
      <c r="D45" s="196"/>
      <c r="E45" s="196"/>
      <c r="F45" s="196"/>
      <c r="G45" s="197"/>
      <c r="H45" s="165"/>
      <c r="I45" s="165"/>
      <c r="J45" s="166"/>
      <c r="K45" s="165"/>
      <c r="L45" s="147"/>
      <c r="M45" s="165"/>
      <c r="N45" s="166"/>
      <c r="O45" s="147"/>
    </row>
    <row r="46" spans="2:20">
      <c r="B46" s="186"/>
      <c r="C46" s="198"/>
      <c r="D46" s="198"/>
      <c r="E46" s="198"/>
      <c r="F46" s="198"/>
      <c r="G46" s="199"/>
      <c r="H46" s="165"/>
      <c r="I46" s="165"/>
      <c r="J46" s="166"/>
      <c r="K46" s="165"/>
      <c r="L46" s="147"/>
      <c r="M46" s="165"/>
      <c r="N46" s="166"/>
      <c r="O46" s="147"/>
    </row>
    <row r="47" spans="2:20">
      <c r="B47" s="186"/>
      <c r="C47" s="198"/>
      <c r="D47" s="198"/>
      <c r="E47" s="198"/>
      <c r="F47" s="198"/>
      <c r="G47" s="199"/>
      <c r="H47" s="165"/>
      <c r="I47" s="165"/>
      <c r="J47" s="166"/>
      <c r="K47" s="165"/>
      <c r="L47" s="147"/>
      <c r="M47" s="165"/>
      <c r="N47" s="166"/>
      <c r="O47" s="147"/>
    </row>
    <row r="48" spans="2:20">
      <c r="B48" s="186"/>
      <c r="C48" s="198"/>
      <c r="D48" s="198"/>
      <c r="E48" s="198"/>
      <c r="F48" s="198"/>
      <c r="G48" s="199"/>
      <c r="H48" s="165"/>
      <c r="I48" s="165"/>
      <c r="J48" s="166"/>
      <c r="K48" s="165"/>
      <c r="L48" s="147"/>
      <c r="M48" s="165"/>
      <c r="N48" s="166"/>
      <c r="O48" s="147"/>
    </row>
    <row r="49" spans="2:17">
      <c r="B49" s="186"/>
      <c r="C49" s="198"/>
      <c r="D49" s="198"/>
      <c r="E49" s="198"/>
      <c r="F49" s="198"/>
      <c r="G49" s="199"/>
      <c r="H49" s="165"/>
      <c r="I49" s="165"/>
      <c r="J49" s="166"/>
      <c r="K49" s="165"/>
      <c r="L49" s="147"/>
      <c r="M49" s="165"/>
      <c r="N49" s="166"/>
      <c r="O49" s="147"/>
    </row>
    <row r="50" spans="2:17">
      <c r="C50" s="64"/>
      <c r="D50" s="64"/>
      <c r="E50" s="64"/>
      <c r="F50" s="64"/>
      <c r="G50" s="65"/>
    </row>
    <row r="51" spans="2:17" ht="23.5">
      <c r="B51" s="238" t="s">
        <v>106</v>
      </c>
      <c r="C51" s="239"/>
      <c r="D51" s="239"/>
      <c r="E51" s="239"/>
      <c r="F51" s="239"/>
      <c r="G51" s="239"/>
      <c r="H51" s="200"/>
      <c r="I51" s="200"/>
      <c r="J51" s="200"/>
      <c r="K51" s="200"/>
      <c r="L51" s="200"/>
      <c r="M51" s="200"/>
      <c r="N51" s="200"/>
      <c r="O51" s="200"/>
      <c r="P51" s="118"/>
      <c r="Q51" s="91" t="s">
        <v>165</v>
      </c>
    </row>
    <row r="52" spans="2:17">
      <c r="B52" s="54"/>
      <c r="C52" s="118"/>
      <c r="D52" s="118"/>
      <c r="E52" s="118"/>
      <c r="F52" s="118"/>
      <c r="G52" s="118"/>
      <c r="H52" s="118"/>
      <c r="I52" s="118"/>
      <c r="J52" s="118"/>
      <c r="K52" s="118"/>
      <c r="L52" s="118"/>
      <c r="M52" s="118"/>
      <c r="N52" s="118"/>
      <c r="O52" s="118"/>
      <c r="P52" s="118"/>
      <c r="Q52" s="118"/>
    </row>
    <row r="53" spans="2:17" ht="18.5">
      <c r="B53" s="226" t="s">
        <v>183</v>
      </c>
      <c r="C53" s="118"/>
      <c r="D53" s="118"/>
      <c r="E53" s="118"/>
      <c r="F53" s="118"/>
      <c r="G53" s="118"/>
      <c r="H53" s="118"/>
      <c r="I53" s="118"/>
      <c r="J53" s="118"/>
      <c r="K53" s="118"/>
      <c r="L53" s="118"/>
      <c r="M53" s="118"/>
      <c r="N53" s="118"/>
      <c r="O53" s="118"/>
      <c r="P53" s="118"/>
    </row>
    <row r="54" spans="2:17">
      <c r="B54" s="55" t="s">
        <v>107</v>
      </c>
      <c r="C54" s="118"/>
      <c r="D54" s="118"/>
      <c r="E54" s="118"/>
      <c r="F54" s="118"/>
      <c r="G54" s="118"/>
      <c r="H54" s="118"/>
      <c r="I54" s="118"/>
      <c r="J54" s="118"/>
      <c r="K54" s="118"/>
      <c r="L54" s="118"/>
      <c r="M54" s="118"/>
      <c r="N54" s="118"/>
      <c r="O54" s="118"/>
      <c r="P54" s="118"/>
      <c r="Q54" s="118"/>
    </row>
    <row r="55" spans="2:17">
      <c r="B55" s="201" t="s">
        <v>108</v>
      </c>
      <c r="C55" s="202"/>
      <c r="D55" s="203" t="s">
        <v>109</v>
      </c>
      <c r="E55" s="204">
        <v>75</v>
      </c>
      <c r="F55" s="118"/>
      <c r="G55" s="118"/>
      <c r="H55" s="118"/>
      <c r="I55" s="118"/>
      <c r="J55" s="118"/>
      <c r="K55" s="118"/>
      <c r="L55" s="118"/>
      <c r="M55" s="118"/>
      <c r="N55" s="118"/>
      <c r="O55" s="118"/>
      <c r="P55" s="118"/>
      <c r="Q55" s="118"/>
    </row>
    <row r="56" spans="2:17">
      <c r="B56" s="205"/>
      <c r="C56" s="206"/>
      <c r="D56" s="207" t="s">
        <v>110</v>
      </c>
      <c r="E56" s="208">
        <v>50</v>
      </c>
      <c r="F56" s="118"/>
      <c r="G56" s="118"/>
      <c r="H56" s="118"/>
      <c r="I56" s="118"/>
      <c r="J56" s="118"/>
      <c r="K56" s="118"/>
      <c r="L56" s="118"/>
      <c r="M56" s="118"/>
      <c r="N56" s="118"/>
      <c r="O56" s="118"/>
      <c r="P56" s="118"/>
      <c r="Q56" s="118"/>
    </row>
    <row r="57" spans="2:17">
      <c r="B57" s="205"/>
      <c r="C57" s="206"/>
      <c r="D57" s="209" t="s">
        <v>111</v>
      </c>
      <c r="E57" s="204">
        <v>50</v>
      </c>
      <c r="F57" s="118"/>
      <c r="G57" s="118"/>
      <c r="H57" s="118"/>
      <c r="I57" s="118"/>
      <c r="J57" s="118"/>
      <c r="K57" s="118"/>
      <c r="L57" s="118"/>
      <c r="M57" s="118"/>
      <c r="N57" s="118"/>
      <c r="O57" s="118"/>
      <c r="P57" s="118"/>
      <c r="Q57" s="118"/>
    </row>
    <row r="58" spans="2:17">
      <c r="B58" s="205"/>
      <c r="C58" s="206"/>
      <c r="D58" s="207" t="s">
        <v>112</v>
      </c>
      <c r="E58" s="208">
        <v>25</v>
      </c>
      <c r="F58" s="118"/>
      <c r="G58" s="118"/>
      <c r="H58" s="118"/>
      <c r="I58" s="118"/>
      <c r="J58" s="118"/>
      <c r="K58" s="118"/>
      <c r="L58" s="118"/>
      <c r="M58" s="118"/>
      <c r="N58" s="118"/>
      <c r="O58" s="118"/>
      <c r="P58" s="118"/>
      <c r="Q58" s="118"/>
    </row>
    <row r="59" spans="2:17">
      <c r="B59" s="210"/>
      <c r="C59" s="211"/>
      <c r="D59" s="212" t="s">
        <v>113</v>
      </c>
      <c r="E59" s="208">
        <v>65</v>
      </c>
      <c r="F59" s="118"/>
      <c r="G59" s="118"/>
      <c r="H59" s="118"/>
      <c r="I59" s="118"/>
      <c r="J59" s="118"/>
      <c r="K59" s="118"/>
      <c r="L59" s="118"/>
      <c r="M59" s="118"/>
      <c r="N59" s="118"/>
      <c r="O59" s="118"/>
      <c r="P59" s="118"/>
      <c r="Q59" s="118"/>
    </row>
    <row r="60" spans="2:17">
      <c r="B60" s="274" t="s">
        <v>230</v>
      </c>
      <c r="C60" s="202"/>
      <c r="D60" s="203" t="s">
        <v>114</v>
      </c>
      <c r="E60" s="204">
        <v>90</v>
      </c>
      <c r="F60" s="118"/>
      <c r="G60" s="118"/>
      <c r="H60" s="118"/>
      <c r="I60" s="118"/>
      <c r="J60" s="118"/>
      <c r="K60" s="118"/>
      <c r="L60" s="118"/>
      <c r="M60" s="118"/>
      <c r="N60" s="118"/>
      <c r="O60" s="118"/>
      <c r="P60" s="118"/>
      <c r="Q60" s="118"/>
    </row>
    <row r="61" spans="2:17">
      <c r="B61" s="205"/>
      <c r="C61" s="206"/>
      <c r="D61" s="207" t="s">
        <v>115</v>
      </c>
      <c r="E61" s="208">
        <v>50</v>
      </c>
      <c r="F61" s="118"/>
      <c r="G61" s="118"/>
      <c r="H61" s="118"/>
      <c r="I61" s="118"/>
      <c r="J61" s="118"/>
      <c r="K61" s="118"/>
      <c r="L61" s="118"/>
      <c r="M61" s="118"/>
      <c r="N61" s="118"/>
      <c r="O61" s="118"/>
      <c r="P61" s="118"/>
      <c r="Q61" s="118"/>
    </row>
    <row r="62" spans="2:17">
      <c r="B62" s="205"/>
      <c r="C62" s="206"/>
      <c r="D62" s="209" t="s">
        <v>116</v>
      </c>
      <c r="E62" s="204">
        <v>75</v>
      </c>
      <c r="F62" s="118"/>
      <c r="G62" s="118"/>
      <c r="H62" s="118"/>
      <c r="I62" s="118"/>
      <c r="J62" s="118"/>
      <c r="K62" s="118"/>
      <c r="L62" s="118"/>
      <c r="M62" s="118"/>
      <c r="N62" s="118"/>
      <c r="O62" s="118"/>
      <c r="P62" s="118"/>
      <c r="Q62" s="118"/>
    </row>
    <row r="63" spans="2:17">
      <c r="B63" s="205"/>
      <c r="C63" s="206"/>
      <c r="D63" s="207" t="s">
        <v>117</v>
      </c>
      <c r="E63" s="208">
        <v>55</v>
      </c>
      <c r="F63" s="118"/>
      <c r="G63" s="118"/>
      <c r="H63" s="118"/>
      <c r="I63" s="118"/>
      <c r="J63" s="118"/>
      <c r="K63" s="118"/>
      <c r="L63" s="118"/>
      <c r="M63" s="118"/>
      <c r="N63" s="118"/>
      <c r="O63" s="118"/>
      <c r="P63" s="118"/>
      <c r="Q63" s="118"/>
    </row>
    <row r="64" spans="2:17">
      <c r="B64" s="205"/>
      <c r="C64" s="206"/>
      <c r="D64" s="209" t="s">
        <v>118</v>
      </c>
      <c r="E64" s="204">
        <v>50</v>
      </c>
      <c r="F64" s="118"/>
      <c r="G64" s="118"/>
      <c r="H64" s="118"/>
      <c r="I64" s="118"/>
      <c r="J64" s="118"/>
      <c r="K64" s="118"/>
      <c r="L64" s="118"/>
      <c r="M64" s="118"/>
      <c r="N64" s="118"/>
      <c r="O64" s="118"/>
      <c r="P64" s="118"/>
      <c r="Q64" s="118"/>
    </row>
    <row r="65" spans="2:17">
      <c r="B65" s="210"/>
      <c r="C65" s="211"/>
      <c r="D65" s="212" t="s">
        <v>119</v>
      </c>
      <c r="E65" s="208">
        <v>25</v>
      </c>
      <c r="F65" s="118"/>
      <c r="G65" s="118"/>
      <c r="H65" s="118"/>
      <c r="I65" s="118"/>
      <c r="J65" s="118"/>
      <c r="K65" s="118"/>
      <c r="L65" s="118"/>
      <c r="M65" s="118"/>
      <c r="N65" s="118"/>
      <c r="O65" s="118"/>
      <c r="P65" s="118"/>
      <c r="Q65" s="118"/>
    </row>
    <row r="66" spans="2:17">
      <c r="B66" s="201" t="s">
        <v>120</v>
      </c>
      <c r="C66" s="202"/>
      <c r="D66" s="203" t="s">
        <v>121</v>
      </c>
      <c r="E66" s="204">
        <v>130</v>
      </c>
      <c r="F66" s="118"/>
      <c r="G66" s="118"/>
      <c r="H66" s="118"/>
      <c r="I66" s="118"/>
      <c r="J66" s="118"/>
      <c r="K66" s="118"/>
      <c r="L66" s="118"/>
      <c r="M66" s="118"/>
      <c r="N66" s="118"/>
      <c r="O66" s="118"/>
      <c r="P66" s="118"/>
      <c r="Q66" s="118"/>
    </row>
    <row r="67" spans="2:17">
      <c r="B67" s="205"/>
      <c r="C67" s="206"/>
      <c r="D67" s="209" t="s">
        <v>122</v>
      </c>
      <c r="E67" s="204">
        <v>15</v>
      </c>
      <c r="F67" s="118"/>
      <c r="G67" s="118"/>
      <c r="H67" s="118"/>
      <c r="I67" s="118"/>
      <c r="J67" s="118"/>
      <c r="K67" s="118"/>
      <c r="L67" s="118"/>
      <c r="M67" s="118"/>
      <c r="N67" s="118"/>
      <c r="O67" s="118"/>
      <c r="P67" s="118"/>
      <c r="Q67" s="118"/>
    </row>
    <row r="68" spans="2:17">
      <c r="B68" s="205"/>
      <c r="C68" s="206"/>
      <c r="D68" s="207" t="s">
        <v>123</v>
      </c>
      <c r="E68" s="208">
        <v>75</v>
      </c>
      <c r="F68" s="118"/>
      <c r="G68" s="118"/>
      <c r="H68" s="118"/>
      <c r="I68" s="118"/>
      <c r="J68" s="118"/>
      <c r="K68" s="118"/>
      <c r="L68" s="118"/>
      <c r="M68" s="118"/>
      <c r="N68" s="118"/>
      <c r="O68" s="118"/>
      <c r="P68" s="118"/>
      <c r="Q68" s="118"/>
    </row>
    <row r="69" spans="2:17">
      <c r="B69" s="210"/>
      <c r="C69" s="211"/>
      <c r="D69" s="212" t="s">
        <v>124</v>
      </c>
      <c r="E69" s="208">
        <v>8</v>
      </c>
      <c r="F69" s="118"/>
      <c r="G69" s="118"/>
      <c r="H69" s="118"/>
      <c r="I69" s="118"/>
      <c r="J69" s="118"/>
      <c r="K69" s="118"/>
      <c r="L69" s="118"/>
      <c r="M69" s="118"/>
      <c r="N69" s="118"/>
      <c r="O69" s="118"/>
      <c r="P69" s="118"/>
      <c r="Q69" s="118"/>
    </row>
    <row r="70" spans="2:17">
      <c r="B70" s="201" t="s">
        <v>125</v>
      </c>
      <c r="C70" s="202"/>
      <c r="D70" s="203" t="s">
        <v>126</v>
      </c>
      <c r="E70" s="204">
        <v>130</v>
      </c>
      <c r="F70" s="118"/>
      <c r="G70" s="118"/>
      <c r="H70" s="118"/>
      <c r="I70" s="118"/>
      <c r="J70" s="118"/>
      <c r="K70" s="118"/>
      <c r="L70" s="118"/>
      <c r="M70" s="118"/>
      <c r="N70" s="118"/>
      <c r="O70" s="118"/>
      <c r="P70" s="118"/>
      <c r="Q70" s="118"/>
    </row>
    <row r="71" spans="2:17">
      <c r="B71" s="205"/>
      <c r="C71" s="206"/>
      <c r="D71" s="207" t="s">
        <v>131</v>
      </c>
      <c r="E71" s="208">
        <v>80</v>
      </c>
      <c r="F71" s="118"/>
      <c r="G71" s="118"/>
      <c r="H71" s="118"/>
      <c r="I71" s="118"/>
      <c r="J71" s="118"/>
      <c r="K71" s="118"/>
      <c r="L71" s="118"/>
      <c r="M71" s="118"/>
      <c r="N71" s="118"/>
      <c r="O71" s="118"/>
      <c r="P71" s="118"/>
      <c r="Q71" s="118"/>
    </row>
    <row r="72" spans="2:17">
      <c r="B72" s="205"/>
      <c r="C72" s="206"/>
      <c r="D72" s="209" t="s">
        <v>127</v>
      </c>
      <c r="E72" s="204">
        <v>80</v>
      </c>
      <c r="F72" s="118"/>
      <c r="G72" s="118"/>
      <c r="H72" s="118"/>
      <c r="I72" s="118"/>
      <c r="J72" s="118"/>
      <c r="K72" s="118"/>
      <c r="L72" s="118"/>
      <c r="M72" s="118"/>
      <c r="N72" s="118"/>
      <c r="O72" s="118"/>
      <c r="P72" s="118"/>
      <c r="Q72" s="118"/>
    </row>
    <row r="73" spans="2:17">
      <c r="B73" s="205"/>
      <c r="C73" s="206"/>
      <c r="D73" s="207" t="s">
        <v>128</v>
      </c>
      <c r="E73" s="208">
        <v>30</v>
      </c>
      <c r="F73" s="118"/>
      <c r="G73" s="118"/>
      <c r="H73" s="118"/>
      <c r="I73" s="118"/>
      <c r="J73" s="118"/>
      <c r="K73" s="118"/>
      <c r="L73" s="118"/>
      <c r="M73" s="118"/>
      <c r="N73" s="118"/>
      <c r="O73" s="118"/>
      <c r="P73" s="118"/>
      <c r="Q73" s="118"/>
    </row>
    <row r="74" spans="2:17">
      <c r="B74" s="205"/>
      <c r="C74" s="206"/>
      <c r="D74" s="275" t="s">
        <v>220</v>
      </c>
      <c r="E74" s="276">
        <v>14</v>
      </c>
      <c r="F74" s="118"/>
      <c r="G74" s="118"/>
      <c r="H74" s="118"/>
      <c r="I74" s="118"/>
      <c r="J74" s="118"/>
      <c r="K74" s="118"/>
      <c r="L74" s="118"/>
      <c r="M74" s="118"/>
      <c r="N74" s="118"/>
      <c r="O74" s="118"/>
      <c r="P74" s="118"/>
      <c r="Q74" s="118"/>
    </row>
    <row r="75" spans="2:17">
      <c r="B75" s="205"/>
      <c r="C75" s="206"/>
      <c r="D75" s="207" t="s">
        <v>129</v>
      </c>
      <c r="E75" s="208">
        <v>25</v>
      </c>
      <c r="F75" s="118"/>
      <c r="G75" s="118"/>
      <c r="H75" s="118"/>
      <c r="I75" s="118"/>
      <c r="J75" s="118"/>
      <c r="K75" s="118"/>
      <c r="L75" s="118"/>
      <c r="M75" s="118"/>
      <c r="N75" s="118"/>
      <c r="O75" s="118"/>
      <c r="P75" s="118"/>
      <c r="Q75" s="118"/>
    </row>
    <row r="76" spans="2:17">
      <c r="B76" s="210"/>
      <c r="C76" s="211"/>
      <c r="D76" s="212" t="s">
        <v>130</v>
      </c>
      <c r="E76" s="208">
        <v>10</v>
      </c>
      <c r="F76" s="118"/>
      <c r="G76" s="118"/>
      <c r="H76" s="118"/>
      <c r="I76" s="118"/>
      <c r="J76" s="118"/>
      <c r="K76" s="118"/>
      <c r="L76" s="118"/>
      <c r="M76" s="118"/>
      <c r="N76" s="118"/>
      <c r="O76" s="118"/>
      <c r="P76" s="118"/>
      <c r="Q76" s="118"/>
    </row>
    <row r="77" spans="2:17">
      <c r="B77" s="274" t="s">
        <v>226</v>
      </c>
      <c r="C77" s="202"/>
      <c r="D77" s="277" t="s">
        <v>222</v>
      </c>
      <c r="E77" s="276">
        <v>30</v>
      </c>
      <c r="F77" s="118"/>
      <c r="G77" s="118"/>
      <c r="H77" s="118"/>
      <c r="I77" s="118"/>
      <c r="J77" s="118"/>
      <c r="K77" s="118"/>
      <c r="L77" s="118"/>
      <c r="M77" s="118"/>
      <c r="N77" s="118"/>
      <c r="O77" s="118"/>
      <c r="P77" s="118"/>
      <c r="Q77" s="118"/>
    </row>
    <row r="78" spans="2:17">
      <c r="B78" s="205"/>
      <c r="C78" s="206"/>
      <c r="D78" s="275" t="s">
        <v>223</v>
      </c>
      <c r="E78" s="278">
        <v>20</v>
      </c>
      <c r="F78" s="118"/>
      <c r="G78" s="118"/>
      <c r="H78" s="118"/>
      <c r="I78" s="118"/>
      <c r="J78" s="118"/>
      <c r="K78" s="118"/>
      <c r="L78" s="118"/>
      <c r="M78" s="118"/>
      <c r="N78" s="118"/>
      <c r="O78" s="118"/>
      <c r="P78" s="118"/>
      <c r="Q78" s="118"/>
    </row>
    <row r="79" spans="2:17">
      <c r="B79" s="205"/>
      <c r="C79" s="206"/>
      <c r="D79" s="271" t="s">
        <v>229</v>
      </c>
      <c r="E79" s="216">
        <v>12</v>
      </c>
      <c r="F79" s="118"/>
      <c r="G79" s="118"/>
      <c r="H79" s="118"/>
      <c r="I79" s="118"/>
      <c r="J79" s="118"/>
      <c r="K79" s="118"/>
      <c r="L79" s="118"/>
      <c r="M79" s="118"/>
      <c r="N79" s="118"/>
      <c r="O79" s="118"/>
      <c r="P79" s="118"/>
      <c r="Q79" s="118"/>
    </row>
    <row r="80" spans="2:17">
      <c r="B80" s="205"/>
      <c r="C80" s="206"/>
      <c r="D80" s="275" t="s">
        <v>227</v>
      </c>
      <c r="E80" s="276">
        <v>48</v>
      </c>
      <c r="F80" s="118"/>
      <c r="G80" s="118"/>
      <c r="H80" s="118"/>
      <c r="I80" s="118"/>
      <c r="J80" s="118"/>
      <c r="K80" s="118"/>
      <c r="L80" s="118"/>
      <c r="M80" s="118"/>
      <c r="N80" s="118"/>
      <c r="O80" s="118"/>
      <c r="P80" s="118"/>
      <c r="Q80" s="118"/>
    </row>
    <row r="81" spans="2:7">
      <c r="B81" s="205"/>
      <c r="C81" s="206"/>
      <c r="D81" s="281" t="s">
        <v>228</v>
      </c>
      <c r="E81" s="278">
        <v>20</v>
      </c>
      <c r="F81" s="64"/>
      <c r="G81" s="65"/>
    </row>
    <row r="82" spans="2:7">
      <c r="B82" s="205"/>
      <c r="C82" s="206"/>
      <c r="D82" s="271" t="s">
        <v>238</v>
      </c>
      <c r="E82" s="208">
        <v>15</v>
      </c>
      <c r="F82" s="64"/>
      <c r="G82" s="65"/>
    </row>
    <row r="83" spans="2:7">
      <c r="B83" s="205"/>
      <c r="C83" s="206"/>
      <c r="D83" s="271" t="s">
        <v>237</v>
      </c>
      <c r="E83" s="208">
        <v>3</v>
      </c>
      <c r="F83" s="64"/>
      <c r="G83" s="65"/>
    </row>
    <row r="84" spans="2:7">
      <c r="B84" s="205"/>
      <c r="C84" s="206"/>
      <c r="D84" s="279" t="s">
        <v>239</v>
      </c>
      <c r="E84" s="276">
        <v>50</v>
      </c>
      <c r="G84" s="65"/>
    </row>
    <row r="85" spans="2:7">
      <c r="B85" s="274" t="s">
        <v>232</v>
      </c>
      <c r="C85" s="202"/>
      <c r="D85" s="285" t="s">
        <v>234</v>
      </c>
      <c r="E85" s="280">
        <v>65</v>
      </c>
      <c r="G85" s="65"/>
    </row>
    <row r="86" spans="2:7">
      <c r="B86" s="272"/>
      <c r="C86" s="206"/>
      <c r="D86" s="286" t="s">
        <v>233</v>
      </c>
      <c r="E86" s="276">
        <v>50</v>
      </c>
      <c r="G86" s="65"/>
    </row>
    <row r="87" spans="2:7">
      <c r="B87" s="205"/>
      <c r="C87" s="206"/>
      <c r="D87" s="287" t="s">
        <v>235</v>
      </c>
      <c r="E87" s="208">
        <v>40</v>
      </c>
      <c r="G87" s="65"/>
    </row>
    <row r="88" spans="2:7">
      <c r="B88" s="205"/>
      <c r="C88" s="206"/>
      <c r="D88" s="286" t="s">
        <v>236</v>
      </c>
      <c r="E88" s="276">
        <v>20</v>
      </c>
      <c r="G88" s="65"/>
    </row>
    <row r="89" spans="2:7">
      <c r="B89" s="205"/>
      <c r="C89" s="206"/>
      <c r="D89" s="287" t="s">
        <v>240</v>
      </c>
      <c r="E89" s="208">
        <v>50</v>
      </c>
      <c r="G89" s="65"/>
    </row>
    <row r="90" spans="2:7">
      <c r="B90" s="205"/>
      <c r="C90" s="206"/>
      <c r="D90" s="288" t="s">
        <v>241</v>
      </c>
      <c r="E90" s="208">
        <v>30</v>
      </c>
      <c r="G90" s="65"/>
    </row>
    <row r="91" spans="2:7">
      <c r="B91" s="274" t="s">
        <v>221</v>
      </c>
      <c r="C91" s="202"/>
      <c r="D91" s="281" t="s">
        <v>224</v>
      </c>
      <c r="E91" s="278">
        <v>90</v>
      </c>
      <c r="G91" s="65"/>
    </row>
    <row r="92" spans="2:7">
      <c r="B92" s="205"/>
      <c r="C92" s="206"/>
      <c r="D92" s="273" t="s">
        <v>225</v>
      </c>
      <c r="E92" s="216">
        <v>65</v>
      </c>
      <c r="G92" s="65"/>
    </row>
    <row r="93" spans="2:7">
      <c r="B93" s="210"/>
      <c r="C93" s="211"/>
      <c r="D93" s="281" t="s">
        <v>231</v>
      </c>
      <c r="E93" s="278">
        <v>130</v>
      </c>
      <c r="G93" s="65"/>
    </row>
    <row r="94" spans="2:7">
      <c r="B94" s="205" t="s">
        <v>132</v>
      </c>
      <c r="C94" s="206"/>
      <c r="D94" s="282" t="s">
        <v>133</v>
      </c>
      <c r="E94" s="208">
        <v>15</v>
      </c>
      <c r="G94" s="65"/>
    </row>
    <row r="95" spans="2:7">
      <c r="B95" s="213"/>
      <c r="C95" s="206"/>
      <c r="D95" s="213" t="s">
        <v>134</v>
      </c>
      <c r="E95" s="208">
        <v>3</v>
      </c>
      <c r="G95" s="65"/>
    </row>
    <row r="96" spans="2:7">
      <c r="B96" s="213"/>
      <c r="C96" s="206"/>
      <c r="D96" s="283" t="s">
        <v>136</v>
      </c>
      <c r="E96" s="276">
        <v>12</v>
      </c>
      <c r="G96" s="65"/>
    </row>
    <row r="97" spans="2:7">
      <c r="B97" s="214"/>
      <c r="C97" s="211"/>
      <c r="D97" s="284" t="s">
        <v>135</v>
      </c>
      <c r="E97" s="276">
        <v>5</v>
      </c>
      <c r="G97" s="65"/>
    </row>
    <row r="98" spans="2:7">
      <c r="G98" s="65"/>
    </row>
    <row r="99" spans="2:7">
      <c r="G99" s="65"/>
    </row>
    <row r="100" spans="2:7">
      <c r="G100" s="65"/>
    </row>
    <row r="101" spans="2:7">
      <c r="G101" s="65"/>
    </row>
    <row r="102" spans="2:7">
      <c r="G102" s="65"/>
    </row>
    <row r="103" spans="2:7">
      <c r="G103" s="65"/>
    </row>
    <row r="104" spans="2:7">
      <c r="G104" s="65"/>
    </row>
    <row r="105" spans="2:7">
      <c r="G105" s="65"/>
    </row>
    <row r="106" spans="2:7">
      <c r="G106" s="65"/>
    </row>
    <row r="107" spans="2:7">
      <c r="G107" s="65"/>
    </row>
    <row r="108" spans="2:7">
      <c r="G108" s="65"/>
    </row>
    <row r="109" spans="2:7">
      <c r="G109" s="65"/>
    </row>
    <row r="110" spans="2:7">
      <c r="G110" s="65"/>
    </row>
    <row r="111" spans="2:7">
      <c r="G111" s="65"/>
    </row>
    <row r="112" spans="2:7">
      <c r="G112" s="65"/>
    </row>
    <row r="113" spans="7:7">
      <c r="G113" s="65"/>
    </row>
    <row r="114" spans="7:7">
      <c r="G114" s="65"/>
    </row>
    <row r="115" spans="7:7">
      <c r="G115" s="65"/>
    </row>
    <row r="116" spans="7:7">
      <c r="G116" s="65"/>
    </row>
    <row r="117" spans="7:7">
      <c r="G117" s="65"/>
    </row>
    <row r="118" spans="7:7">
      <c r="G118" s="65"/>
    </row>
    <row r="119" spans="7:7">
      <c r="G119" s="65"/>
    </row>
    <row r="120" spans="7:7">
      <c r="G120" s="65"/>
    </row>
    <row r="121" spans="7:7">
      <c r="G121" s="65"/>
    </row>
    <row r="122" spans="7:7">
      <c r="G122" s="65"/>
    </row>
    <row r="123" spans="7:7">
      <c r="G123" s="65"/>
    </row>
    <row r="124" spans="7:7">
      <c r="G124" s="65"/>
    </row>
    <row r="125" spans="7:7">
      <c r="G125" s="65"/>
    </row>
    <row r="126" spans="7:7">
      <c r="G126" s="65"/>
    </row>
    <row r="127" spans="7:7">
      <c r="G127" s="65"/>
    </row>
    <row r="128" spans="7:7">
      <c r="G128" s="65"/>
    </row>
    <row r="129" spans="7:7">
      <c r="G129" s="65"/>
    </row>
    <row r="130" spans="7:7">
      <c r="G130" s="65"/>
    </row>
    <row r="131" spans="7:7">
      <c r="G131" s="65"/>
    </row>
    <row r="132" spans="7:7">
      <c r="G132" s="65"/>
    </row>
    <row r="133" spans="7:7">
      <c r="G133" s="65"/>
    </row>
    <row r="134" spans="7:7">
      <c r="G134" s="65"/>
    </row>
    <row r="135" spans="7:7">
      <c r="G135" s="65"/>
    </row>
    <row r="136" spans="7:7">
      <c r="G136" s="65"/>
    </row>
    <row r="137" spans="7:7">
      <c r="G137" s="65"/>
    </row>
    <row r="138" spans="7:7">
      <c r="G138" s="65"/>
    </row>
    <row r="139" spans="7:7">
      <c r="G139" s="65"/>
    </row>
    <row r="140" spans="7:7">
      <c r="G140" s="65"/>
    </row>
    <row r="141" spans="7:7">
      <c r="G141" s="65"/>
    </row>
    <row r="142" spans="7:7">
      <c r="G142" s="65"/>
    </row>
    <row r="143" spans="7:7">
      <c r="G143" s="191"/>
    </row>
    <row r="144" spans="7:7">
      <c r="G144" s="191"/>
    </row>
    <row r="145" spans="7:7">
      <c r="G145" s="191"/>
    </row>
    <row r="146" spans="7:7">
      <c r="G146" s="191"/>
    </row>
    <row r="147" spans="7:7">
      <c r="G147" s="191"/>
    </row>
    <row r="148" spans="7:7">
      <c r="G148" s="191"/>
    </row>
    <row r="149" spans="7:7">
      <c r="G149" s="191"/>
    </row>
    <row r="150" spans="7:7">
      <c r="G150" s="191"/>
    </row>
    <row r="151" spans="7:7">
      <c r="G151" s="191"/>
    </row>
    <row r="152" spans="7:7">
      <c r="G152" s="191"/>
    </row>
    <row r="153" spans="7:7">
      <c r="G153" s="191"/>
    </row>
    <row r="154" spans="7:7">
      <c r="G154" s="191"/>
    </row>
    <row r="155" spans="7:7">
      <c r="G155" s="191"/>
    </row>
    <row r="156" spans="7:7">
      <c r="G156" s="191"/>
    </row>
    <row r="157" spans="7:7">
      <c r="G157" s="191"/>
    </row>
    <row r="158" spans="7:7">
      <c r="G158" s="191"/>
    </row>
    <row r="159" spans="7:7">
      <c r="G159" s="191"/>
    </row>
    <row r="160" spans="7:7">
      <c r="G160" s="191"/>
    </row>
    <row r="161" spans="7:7">
      <c r="G161" s="191"/>
    </row>
    <row r="162" spans="7:7">
      <c r="G162" s="191"/>
    </row>
    <row r="163" spans="7:7">
      <c r="G163" s="191"/>
    </row>
    <row r="164" spans="7:7">
      <c r="G164" s="191"/>
    </row>
    <row r="165" spans="7:7">
      <c r="G165" s="191"/>
    </row>
    <row r="166" spans="7:7">
      <c r="G166" s="191"/>
    </row>
    <row r="167" spans="7:7">
      <c r="G167" s="191"/>
    </row>
    <row r="168" spans="7:7">
      <c r="G168" s="191"/>
    </row>
    <row r="169" spans="7:7">
      <c r="G169" s="191"/>
    </row>
    <row r="170" spans="7:7">
      <c r="G170" s="191"/>
    </row>
    <row r="171" spans="7:7">
      <c r="G171" s="191"/>
    </row>
    <row r="172" spans="7:7">
      <c r="G172" s="191"/>
    </row>
    <row r="173" spans="7:7">
      <c r="G173" s="191"/>
    </row>
    <row r="174" spans="7:7">
      <c r="G174" s="191"/>
    </row>
    <row r="175" spans="7:7">
      <c r="G175" s="191"/>
    </row>
    <row r="176" spans="7:7">
      <c r="G176" s="191"/>
    </row>
    <row r="177" spans="7:7">
      <c r="G177" s="191"/>
    </row>
    <row r="178" spans="7:7">
      <c r="G178" s="191"/>
    </row>
    <row r="179" spans="7:7">
      <c r="G179" s="191"/>
    </row>
    <row r="180" spans="7:7">
      <c r="G180" s="191"/>
    </row>
    <row r="181" spans="7:7">
      <c r="G181" s="191"/>
    </row>
    <row r="182" spans="7:7">
      <c r="G182" s="191"/>
    </row>
    <row r="183" spans="7:7">
      <c r="G183" s="191"/>
    </row>
    <row r="184" spans="7:7">
      <c r="G184" s="191"/>
    </row>
    <row r="185" spans="7:7">
      <c r="G185" s="191"/>
    </row>
    <row r="186" spans="7:7">
      <c r="G186" s="191"/>
    </row>
    <row r="187" spans="7:7">
      <c r="G187" s="191"/>
    </row>
    <row r="188" spans="7:7">
      <c r="G188" s="191"/>
    </row>
    <row r="189" spans="7:7">
      <c r="G189" s="191"/>
    </row>
    <row r="190" spans="7:7">
      <c r="G190" s="191"/>
    </row>
    <row r="191" spans="7:7">
      <c r="G191" s="191"/>
    </row>
    <row r="192" spans="7:7">
      <c r="G192" s="191"/>
    </row>
    <row r="193" spans="7:7">
      <c r="G193" s="191"/>
    </row>
    <row r="194" spans="7:7">
      <c r="G194" s="191"/>
    </row>
    <row r="195" spans="7:7">
      <c r="G195" s="191"/>
    </row>
    <row r="196" spans="7:7">
      <c r="G196" s="191"/>
    </row>
    <row r="197" spans="7:7">
      <c r="G197" s="191"/>
    </row>
    <row r="198" spans="7:7">
      <c r="G198" s="191"/>
    </row>
    <row r="199" spans="7:7">
      <c r="G199" s="191"/>
    </row>
    <row r="200" spans="7:7">
      <c r="G200" s="191"/>
    </row>
    <row r="201" spans="7:7">
      <c r="G201" s="191"/>
    </row>
    <row r="202" spans="7:7">
      <c r="G202" s="191"/>
    </row>
    <row r="203" spans="7:7">
      <c r="G203" s="191"/>
    </row>
    <row r="204" spans="7:7">
      <c r="G204" s="191"/>
    </row>
    <row r="205" spans="7:7">
      <c r="G205" s="191"/>
    </row>
    <row r="206" spans="7:7">
      <c r="G206" s="191"/>
    </row>
    <row r="207" spans="7:7">
      <c r="G207" s="191"/>
    </row>
    <row r="208" spans="7:7">
      <c r="G208" s="191"/>
    </row>
    <row r="209" spans="7:7">
      <c r="G209" s="191"/>
    </row>
    <row r="210" spans="7:7">
      <c r="G210" s="191"/>
    </row>
    <row r="211" spans="7:7">
      <c r="G211" s="191"/>
    </row>
    <row r="212" spans="7:7">
      <c r="G212" s="191"/>
    </row>
    <row r="213" spans="7:7">
      <c r="G213" s="191"/>
    </row>
    <row r="214" spans="7:7">
      <c r="G214" s="191"/>
    </row>
    <row r="215" spans="7:7">
      <c r="G215" s="191"/>
    </row>
    <row r="216" spans="7:7">
      <c r="G216" s="191"/>
    </row>
    <row r="217" spans="7:7">
      <c r="G217" s="191"/>
    </row>
    <row r="218" spans="7:7">
      <c r="G218" s="191"/>
    </row>
    <row r="219" spans="7:7">
      <c r="G219" s="191"/>
    </row>
    <row r="220" spans="7:7">
      <c r="G220" s="191"/>
    </row>
    <row r="221" spans="7:7">
      <c r="G221" s="191"/>
    </row>
    <row r="222" spans="7:7">
      <c r="G222" s="191"/>
    </row>
    <row r="223" spans="7:7">
      <c r="G223" s="191"/>
    </row>
    <row r="224" spans="7:7">
      <c r="G224" s="191"/>
    </row>
    <row r="225" spans="7:7">
      <c r="G225" s="191"/>
    </row>
    <row r="226" spans="7:7">
      <c r="G226" s="191"/>
    </row>
    <row r="227" spans="7:7">
      <c r="G227" s="191"/>
    </row>
    <row r="228" spans="7:7">
      <c r="G228" s="191"/>
    </row>
    <row r="229" spans="7:7">
      <c r="G229" s="191"/>
    </row>
    <row r="230" spans="7:7">
      <c r="G230" s="191"/>
    </row>
    <row r="231" spans="7:7">
      <c r="G231" s="191"/>
    </row>
    <row r="232" spans="7:7">
      <c r="G232" s="191"/>
    </row>
    <row r="233" spans="7:7">
      <c r="G233" s="191"/>
    </row>
    <row r="234" spans="7:7">
      <c r="G234" s="191"/>
    </row>
    <row r="235" spans="7:7">
      <c r="G235" s="191"/>
    </row>
    <row r="236" spans="7:7">
      <c r="G236" s="191"/>
    </row>
    <row r="237" spans="7:7">
      <c r="G237" s="191"/>
    </row>
    <row r="238" spans="7:7">
      <c r="G238" s="191"/>
    </row>
    <row r="239" spans="7:7">
      <c r="G239" s="191"/>
    </row>
    <row r="240" spans="7:7">
      <c r="G240" s="191"/>
    </row>
    <row r="241" spans="7:7">
      <c r="G241" s="191"/>
    </row>
    <row r="242" spans="7:7">
      <c r="G242" s="191"/>
    </row>
    <row r="243" spans="7:7">
      <c r="G243" s="191"/>
    </row>
    <row r="244" spans="7:7">
      <c r="G244" s="191"/>
    </row>
    <row r="245" spans="7:7">
      <c r="G245" s="191"/>
    </row>
    <row r="246" spans="7:7">
      <c r="G246" s="191"/>
    </row>
    <row r="247" spans="7:7">
      <c r="G247" s="191"/>
    </row>
    <row r="248" spans="7:7">
      <c r="G248" s="191"/>
    </row>
    <row r="249" spans="7:7">
      <c r="G249" s="191"/>
    </row>
    <row r="250" spans="7:7">
      <c r="G250" s="191"/>
    </row>
    <row r="251" spans="7:7">
      <c r="G251" s="191"/>
    </row>
    <row r="252" spans="7:7">
      <c r="G252" s="191"/>
    </row>
    <row r="253" spans="7:7">
      <c r="G253" s="191"/>
    </row>
    <row r="254" spans="7:7">
      <c r="G254" s="191"/>
    </row>
    <row r="255" spans="7:7">
      <c r="G255" s="191"/>
    </row>
    <row r="256" spans="7:7">
      <c r="G256" s="191"/>
    </row>
    <row r="257" spans="7:7">
      <c r="G257" s="191"/>
    </row>
  </sheetData>
  <protectedRanges>
    <protectedRange sqref="B29:O50" name="Område3"/>
    <protectedRange sqref="T5:W7" name="Område4"/>
    <protectedRange sqref="U5 S5" name="Område2"/>
    <protectedRange sqref="F55:P71" name="Område3_1"/>
    <protectedRange sqref="B51:P52 Q52" name="Område3_1_1"/>
    <protectedRange sqref="B55:E71" name="Område3_1_1_1"/>
  </protectedRanges>
  <mergeCells count="18">
    <mergeCell ref="B2:G2"/>
    <mergeCell ref="F4:H5"/>
    <mergeCell ref="Q6:S6"/>
    <mergeCell ref="Q7:S7"/>
    <mergeCell ref="C23:C26"/>
    <mergeCell ref="D23:D26"/>
    <mergeCell ref="E23:E26"/>
    <mergeCell ref="F23:F26"/>
    <mergeCell ref="G23:G26"/>
    <mergeCell ref="Q30:W31"/>
    <mergeCell ref="T4:W4"/>
    <mergeCell ref="H27:I27"/>
    <mergeCell ref="J27:L27"/>
    <mergeCell ref="M27:O27"/>
    <mergeCell ref="H26:O26"/>
    <mergeCell ref="T6:W6"/>
    <mergeCell ref="T7:W7"/>
    <mergeCell ref="Q5:S5"/>
  </mergeCells>
  <pageMargins left="0.23622047244094491" right="0.23622047244094491" top="7.0729166666666662E-2" bottom="0.74803149606299213" header="0.31496062992125984" footer="0.31496062992125984"/>
  <pageSetup paperSize="8" scale="89" fitToHeight="0" orientation="landscape" r:id="rId1"/>
  <drawing r:id="rId2"/>
  <legacy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616C-820D-4599-9CE2-EB1B04BF9115}">
  <dimension ref="A1:BC1113"/>
  <sheetViews>
    <sheetView workbookViewId="0">
      <selection activeCell="D27" sqref="D27"/>
    </sheetView>
  </sheetViews>
  <sheetFormatPr defaultColWidth="8.6328125" defaultRowHeight="15.5"/>
  <cols>
    <col min="1" max="3" width="10" style="414" customWidth="1"/>
    <col min="4" max="4" width="18.1796875" style="414" bestFit="1" customWidth="1"/>
    <col min="5" max="5" width="15.453125" style="414" customWidth="1"/>
    <col min="6" max="9" width="10" style="414" customWidth="1"/>
    <col min="10" max="10" width="15.453125" style="414" customWidth="1"/>
    <col min="11" max="13" width="8.6328125" style="414"/>
    <col min="14" max="14" width="16.453125" style="414" customWidth="1"/>
    <col min="15" max="19" width="8.6328125" style="414"/>
    <col min="20" max="20" width="10.81640625" style="414" customWidth="1"/>
    <col min="21" max="21" width="9.6328125" style="414" customWidth="1"/>
    <col min="22" max="22" width="17.1796875" style="414" customWidth="1"/>
    <col min="23" max="25" width="8.6328125" style="414"/>
    <col min="26" max="26" width="10" style="414" customWidth="1"/>
    <col min="27" max="27" width="10.81640625" style="414" customWidth="1"/>
    <col min="28" max="28" width="17.1796875" style="414" customWidth="1"/>
    <col min="29" max="29" width="33.453125" style="414" customWidth="1"/>
    <col min="30" max="36" width="8.6328125" style="414"/>
    <col min="37" max="37" width="10.81640625" style="414" customWidth="1"/>
    <col min="38" max="38" width="14.453125" style="414" customWidth="1"/>
    <col min="39" max="50" width="8.6328125" style="414"/>
    <col min="51" max="51" width="10.81640625" style="414" customWidth="1"/>
    <col min="52" max="16384" width="8.6328125" style="414"/>
  </cols>
  <sheetData>
    <row r="1" spans="1:55">
      <c r="A1" s="414" t="s">
        <v>471</v>
      </c>
      <c r="B1" s="414" t="s">
        <v>656</v>
      </c>
      <c r="D1" t="s">
        <v>50</v>
      </c>
      <c r="E1" t="s">
        <v>472</v>
      </c>
      <c r="F1" t="s">
        <v>473</v>
      </c>
      <c r="G1" t="s">
        <v>22</v>
      </c>
      <c r="H1"/>
      <c r="I1" t="s">
        <v>50</v>
      </c>
      <c r="J1" t="s">
        <v>472</v>
      </c>
      <c r="K1" t="s">
        <v>473</v>
      </c>
      <c r="L1"/>
      <c r="M1" s="414" t="s">
        <v>474</v>
      </c>
      <c r="N1" s="414" t="s">
        <v>472</v>
      </c>
      <c r="O1" s="414" t="s">
        <v>473</v>
      </c>
      <c r="Q1" s="415" t="s">
        <v>437</v>
      </c>
      <c r="T1" s="414" t="s">
        <v>475</v>
      </c>
      <c r="U1" s="414" t="s">
        <v>476</v>
      </c>
      <c r="V1" s="414" t="s">
        <v>477</v>
      </c>
      <c r="W1" s="414" t="s">
        <v>478</v>
      </c>
      <c r="Z1" s="414" t="s">
        <v>471</v>
      </c>
      <c r="AA1" s="414" t="s">
        <v>475</v>
      </c>
      <c r="AB1" s="414" t="s">
        <v>477</v>
      </c>
      <c r="AC1" s="414" t="s">
        <v>479</v>
      </c>
      <c r="AD1" s="414" t="s">
        <v>480</v>
      </c>
      <c r="AE1" s="414" t="s">
        <v>481</v>
      </c>
      <c r="AF1" s="414" t="s">
        <v>482</v>
      </c>
      <c r="AG1" s="414" t="s">
        <v>22</v>
      </c>
      <c r="AH1" s="414" t="s">
        <v>395</v>
      </c>
      <c r="AK1" s="414" t="s">
        <v>475</v>
      </c>
      <c r="AL1" s="414" t="s">
        <v>483</v>
      </c>
      <c r="AM1" s="414" t="s">
        <v>480</v>
      </c>
      <c r="AN1" s="414" t="s">
        <v>484</v>
      </c>
      <c r="AO1" s="414" t="s">
        <v>485</v>
      </c>
      <c r="AP1" s="414" t="s">
        <v>22</v>
      </c>
      <c r="AR1" s="416" t="s">
        <v>475</v>
      </c>
      <c r="AS1" s="416" t="s">
        <v>483</v>
      </c>
      <c r="AT1" s="416" t="s">
        <v>480</v>
      </c>
      <c r="AU1" s="416" t="s">
        <v>484</v>
      </c>
      <c r="AV1" s="416" t="s">
        <v>485</v>
      </c>
      <c r="AW1" s="416" t="s">
        <v>22</v>
      </c>
      <c r="AY1" s="414" t="s">
        <v>475</v>
      </c>
      <c r="AZ1" s="414" t="s">
        <v>640</v>
      </c>
      <c r="BA1" s="414" t="s">
        <v>641</v>
      </c>
      <c r="BB1" s="414" t="s">
        <v>482</v>
      </c>
      <c r="BC1" s="414" t="s">
        <v>642</v>
      </c>
    </row>
    <row r="2" spans="1:55">
      <c r="A2" s="414" t="s">
        <v>442</v>
      </c>
      <c r="D2" t="s">
        <v>486</v>
      </c>
      <c r="E2">
        <v>0.85599999999999998</v>
      </c>
      <c r="F2" t="s">
        <v>487</v>
      </c>
      <c r="G2" t="s">
        <v>488</v>
      </c>
      <c r="H2"/>
      <c r="I2" t="s">
        <v>489</v>
      </c>
      <c r="J2">
        <v>22.31</v>
      </c>
      <c r="K2" t="s">
        <v>487</v>
      </c>
      <c r="L2"/>
      <c r="M2" s="414" t="s">
        <v>490</v>
      </c>
      <c r="N2" s="414">
        <v>2.51206388456376</v>
      </c>
      <c r="O2" s="414" t="s">
        <v>491</v>
      </c>
      <c r="Q2" s="414" t="s">
        <v>446</v>
      </c>
      <c r="T2" s="414" t="s">
        <v>443</v>
      </c>
      <c r="U2" s="414" t="s">
        <v>443</v>
      </c>
      <c r="V2" s="414" t="s">
        <v>443</v>
      </c>
      <c r="W2" s="414" t="s">
        <v>443</v>
      </c>
      <c r="Z2" s="414" t="s">
        <v>492</v>
      </c>
      <c r="AA2" s="414" t="s">
        <v>457</v>
      </c>
      <c r="AB2" s="414" t="s">
        <v>493</v>
      </c>
      <c r="AC2" s="414" t="str">
        <f>Z2&amp;AB2</f>
        <v>AlbaniaTrain - Average passenger train</v>
      </c>
      <c r="AD2" s="414">
        <v>2021</v>
      </c>
      <c r="AE2" s="414">
        <v>4.41E-2</v>
      </c>
      <c r="AF2" s="414" t="s">
        <v>494</v>
      </c>
      <c r="AG2" s="414" t="s">
        <v>495</v>
      </c>
      <c r="AH2" s="414" t="s">
        <v>496</v>
      </c>
      <c r="AK2" s="414" t="s">
        <v>443</v>
      </c>
      <c r="AL2" s="414" t="s">
        <v>443</v>
      </c>
      <c r="AM2" s="414" t="s">
        <v>443</v>
      </c>
      <c r="AN2" s="414" t="s">
        <v>497</v>
      </c>
      <c r="AO2" s="414" t="s">
        <v>443</v>
      </c>
      <c r="AP2" s="414" t="s">
        <v>443</v>
      </c>
      <c r="AR2" s="414" t="s">
        <v>443</v>
      </c>
      <c r="AS2" s="414" t="s">
        <v>443</v>
      </c>
      <c r="AT2" s="414" t="s">
        <v>443</v>
      </c>
      <c r="AU2" s="414" t="s">
        <v>497</v>
      </c>
      <c r="AV2" s="414" t="s">
        <v>443</v>
      </c>
      <c r="AW2" s="414" t="s">
        <v>443</v>
      </c>
      <c r="AY2" s="414" t="s">
        <v>639</v>
      </c>
      <c r="AZ2" s="414">
        <v>22.31</v>
      </c>
      <c r="BA2" s="414">
        <v>2023</v>
      </c>
      <c r="BB2" s="414" t="s">
        <v>487</v>
      </c>
      <c r="BC2" s="414" t="s">
        <v>506</v>
      </c>
    </row>
    <row r="3" spans="1:55">
      <c r="A3" t="s">
        <v>492</v>
      </c>
      <c r="B3" s="414">
        <v>0.251</v>
      </c>
      <c r="D3" t="s">
        <v>498</v>
      </c>
      <c r="E3">
        <v>0.63</v>
      </c>
      <c r="F3" t="s">
        <v>487</v>
      </c>
      <c r="G3" s="417" t="s">
        <v>499</v>
      </c>
      <c r="H3" s="417"/>
      <c r="I3" t="s">
        <v>500</v>
      </c>
      <c r="J3">
        <v>0.152</v>
      </c>
      <c r="K3" t="s">
        <v>487</v>
      </c>
      <c r="L3"/>
      <c r="M3" s="414" t="s">
        <v>501</v>
      </c>
      <c r="N3" s="414">
        <v>2.0974731275167802</v>
      </c>
      <c r="O3" s="414" t="s">
        <v>491</v>
      </c>
      <c r="Q3" s="414" t="s">
        <v>448</v>
      </c>
      <c r="T3" s="414" t="s">
        <v>446</v>
      </c>
      <c r="U3" s="414" t="s">
        <v>502</v>
      </c>
      <c r="V3" s="414" t="s">
        <v>503</v>
      </c>
      <c r="W3" s="414" t="s">
        <v>446</v>
      </c>
      <c r="Z3" s="414" t="s">
        <v>504</v>
      </c>
      <c r="AA3" s="414" t="s">
        <v>457</v>
      </c>
      <c r="AB3" s="414" t="s">
        <v>493</v>
      </c>
      <c r="AC3" s="414" t="str">
        <f t="shared" ref="AC3:AC66" si="0">Z3&amp;AB3</f>
        <v>AndorraTrain - Average passenger train</v>
      </c>
      <c r="AD3" s="414">
        <v>2021</v>
      </c>
      <c r="AE3" s="414">
        <v>4.41E-2</v>
      </c>
      <c r="AF3" s="414" t="s">
        <v>494</v>
      </c>
      <c r="AG3" s="414" t="s">
        <v>495</v>
      </c>
      <c r="AH3" s="414" t="s">
        <v>496</v>
      </c>
      <c r="AK3" s="414" t="s">
        <v>459</v>
      </c>
      <c r="AL3" s="414" t="s">
        <v>463</v>
      </c>
      <c r="AM3" s="414">
        <v>2023</v>
      </c>
      <c r="AN3" s="414">
        <v>7.1660974093959732E-4</v>
      </c>
      <c r="AO3" s="414" t="s">
        <v>505</v>
      </c>
      <c r="AP3" s="414" t="s">
        <v>506</v>
      </c>
      <c r="AR3" s="418" t="s">
        <v>459</v>
      </c>
      <c r="AS3" s="418" t="s">
        <v>463</v>
      </c>
      <c r="AT3" s="418">
        <v>2023</v>
      </c>
      <c r="AU3">
        <v>0.28694965637583891</v>
      </c>
      <c r="AV3" s="418" t="s">
        <v>507</v>
      </c>
      <c r="AW3" s="418" t="s">
        <v>506</v>
      </c>
    </row>
    <row r="4" spans="1:55">
      <c r="A4" t="s">
        <v>504</v>
      </c>
      <c r="B4" s="414">
        <v>7.0000000000000007E-2</v>
      </c>
      <c r="D4" t="s">
        <v>508</v>
      </c>
      <c r="E4">
        <v>0.24399999999999999</v>
      </c>
      <c r="F4" t="s">
        <v>487</v>
      </c>
      <c r="G4" s="417" t="s">
        <v>509</v>
      </c>
      <c r="H4" s="417"/>
      <c r="I4" s="417"/>
      <c r="J4" s="417"/>
      <c r="M4" s="414" t="s">
        <v>510</v>
      </c>
      <c r="N4" s="414">
        <v>1.5571277838926201</v>
      </c>
      <c r="O4" s="414" t="s">
        <v>491</v>
      </c>
      <c r="Q4" s="414" t="s">
        <v>449</v>
      </c>
      <c r="T4" s="414" t="s">
        <v>446</v>
      </c>
      <c r="U4" s="414" t="s">
        <v>511</v>
      </c>
      <c r="V4" s="414" t="s">
        <v>512</v>
      </c>
      <c r="W4" s="414" t="s">
        <v>446</v>
      </c>
      <c r="Z4" s="414" t="s">
        <v>513</v>
      </c>
      <c r="AA4" s="414" t="s">
        <v>457</v>
      </c>
      <c r="AB4" s="414" t="s">
        <v>493</v>
      </c>
      <c r="AC4" s="414" t="str">
        <f t="shared" si="0"/>
        <v>AustriaTrain - Average passenger train</v>
      </c>
      <c r="AD4" s="414">
        <v>2021</v>
      </c>
      <c r="AE4" s="414">
        <v>2.35E-2</v>
      </c>
      <c r="AF4" s="414" t="s">
        <v>494</v>
      </c>
      <c r="AG4" s="414" t="s">
        <v>495</v>
      </c>
      <c r="AK4" s="414" t="s">
        <v>459</v>
      </c>
      <c r="AL4" s="414" t="s">
        <v>465</v>
      </c>
      <c r="AM4" s="414">
        <v>2023</v>
      </c>
      <c r="AN4" s="414">
        <v>7.1021626711409392E-4</v>
      </c>
      <c r="AO4" s="414" t="s">
        <v>505</v>
      </c>
      <c r="AP4" s="414" t="s">
        <v>506</v>
      </c>
      <c r="AR4" s="418" t="s">
        <v>459</v>
      </c>
      <c r="AS4" s="418" t="s">
        <v>465</v>
      </c>
      <c r="AT4" s="418">
        <v>2023</v>
      </c>
      <c r="AU4">
        <v>0.28788402684563758</v>
      </c>
      <c r="AV4" s="418" t="s">
        <v>507</v>
      </c>
      <c r="AW4" s="418" t="s">
        <v>506</v>
      </c>
    </row>
    <row r="5" spans="1:55">
      <c r="A5" t="s">
        <v>513</v>
      </c>
      <c r="B5" s="414">
        <v>0.14722619284487265</v>
      </c>
      <c r="D5" t="s">
        <v>514</v>
      </c>
      <c r="E5">
        <v>0.61</v>
      </c>
      <c r="F5" t="s">
        <v>487</v>
      </c>
      <c r="G5" s="417" t="s">
        <v>515</v>
      </c>
      <c r="H5" s="417"/>
      <c r="I5" s="417"/>
      <c r="J5" s="417"/>
      <c r="M5" s="414" t="s">
        <v>516</v>
      </c>
      <c r="N5" s="414">
        <v>2.7554089785234899</v>
      </c>
      <c r="O5" s="414" t="s">
        <v>491</v>
      </c>
      <c r="Q5" s="414" t="s">
        <v>451</v>
      </c>
      <c r="T5" s="414" t="s">
        <v>448</v>
      </c>
      <c r="U5" s="414" t="s">
        <v>517</v>
      </c>
      <c r="V5" s="414" t="s">
        <v>518</v>
      </c>
      <c r="W5" s="414" t="s">
        <v>448</v>
      </c>
      <c r="Z5" s="414" t="s">
        <v>519</v>
      </c>
      <c r="AA5" s="414" t="s">
        <v>457</v>
      </c>
      <c r="AB5" s="414" t="s">
        <v>493</v>
      </c>
      <c r="AC5" s="414" t="str">
        <f t="shared" si="0"/>
        <v>BelarusTrain - Average passenger train</v>
      </c>
      <c r="AD5" s="414">
        <v>2021</v>
      </c>
      <c r="AE5" s="414">
        <v>4.41E-2</v>
      </c>
      <c r="AF5" s="414" t="s">
        <v>494</v>
      </c>
      <c r="AG5" s="414" t="s">
        <v>495</v>
      </c>
      <c r="AH5" s="414" t="s">
        <v>496</v>
      </c>
      <c r="AK5" s="414" t="s">
        <v>459</v>
      </c>
      <c r="AL5" s="414" t="s">
        <v>466</v>
      </c>
      <c r="AM5" s="414">
        <v>2023</v>
      </c>
      <c r="AN5" s="414">
        <v>9.1962115973154355E-4</v>
      </c>
      <c r="AO5" s="414" t="s">
        <v>505</v>
      </c>
      <c r="AP5" s="414" t="s">
        <v>506</v>
      </c>
      <c r="AR5" s="418" t="s">
        <v>459</v>
      </c>
      <c r="AS5" s="418" t="s">
        <v>466</v>
      </c>
      <c r="AT5" s="418">
        <v>2023</v>
      </c>
      <c r="AU5">
        <v>0.25726453825503359</v>
      </c>
      <c r="AV5" s="418" t="s">
        <v>507</v>
      </c>
      <c r="AW5" s="418" t="s">
        <v>506</v>
      </c>
    </row>
    <row r="6" spans="1:55">
      <c r="A6" t="s">
        <v>519</v>
      </c>
      <c r="B6" s="414">
        <v>0.35707781295769858</v>
      </c>
      <c r="D6" t="s">
        <v>520</v>
      </c>
      <c r="E6">
        <v>0.24099999999999999</v>
      </c>
      <c r="F6" t="s">
        <v>487</v>
      </c>
      <c r="G6" t="s">
        <v>521</v>
      </c>
      <c r="H6"/>
      <c r="I6"/>
      <c r="J6"/>
      <c r="M6" s="414" t="s">
        <v>522</v>
      </c>
      <c r="N6" s="414">
        <v>3.1749249825503401</v>
      </c>
      <c r="O6" s="414" t="s">
        <v>491</v>
      </c>
      <c r="Q6" s="414" t="s">
        <v>452</v>
      </c>
      <c r="T6" s="414" t="s">
        <v>449</v>
      </c>
      <c r="U6" s="414" t="s">
        <v>523</v>
      </c>
      <c r="V6" s="414" t="s">
        <v>524</v>
      </c>
      <c r="W6" s="414" t="s">
        <v>449</v>
      </c>
      <c r="Z6" s="414" t="s">
        <v>525</v>
      </c>
      <c r="AA6" s="414" t="s">
        <v>457</v>
      </c>
      <c r="AB6" s="414" t="s">
        <v>493</v>
      </c>
      <c r="AC6" s="414" t="str">
        <f t="shared" si="0"/>
        <v>BelgiumTrain - Average passenger train</v>
      </c>
      <c r="AD6" s="414">
        <v>2021</v>
      </c>
      <c r="AE6" s="414">
        <v>1.7000000000000001E-2</v>
      </c>
      <c r="AF6" s="414" t="s">
        <v>494</v>
      </c>
      <c r="AG6" s="417" t="s">
        <v>526</v>
      </c>
      <c r="AK6" s="414" t="s">
        <v>459</v>
      </c>
      <c r="AL6" s="414" t="s">
        <v>467</v>
      </c>
      <c r="AM6" s="414">
        <v>2023</v>
      </c>
      <c r="AN6" s="414">
        <v>3.2185543355704694E-4</v>
      </c>
      <c r="AO6" s="414" t="s">
        <v>505</v>
      </c>
      <c r="AP6" s="414" t="s">
        <v>506</v>
      </c>
      <c r="AR6" s="418" t="s">
        <v>459</v>
      </c>
      <c r="AS6" s="418" t="s">
        <v>467</v>
      </c>
      <c r="AT6" s="418">
        <v>2023</v>
      </c>
      <c r="AU6">
        <v>8.9785241610738253E-2</v>
      </c>
      <c r="AV6" s="418" t="s">
        <v>507</v>
      </c>
      <c r="AW6" s="418" t="s">
        <v>506</v>
      </c>
    </row>
    <row r="7" spans="1:55">
      <c r="A7" t="s">
        <v>525</v>
      </c>
      <c r="B7" s="414">
        <v>0.13881779999999999</v>
      </c>
      <c r="D7" t="s">
        <v>89</v>
      </c>
      <c r="E7">
        <v>0.26300000000000001</v>
      </c>
      <c r="F7" t="s">
        <v>487</v>
      </c>
      <c r="G7" t="s">
        <v>488</v>
      </c>
      <c r="H7"/>
      <c r="I7"/>
      <c r="J7"/>
      <c r="M7" s="414" t="s">
        <v>527</v>
      </c>
      <c r="N7" s="414">
        <v>4.0581139999999995E-2</v>
      </c>
      <c r="O7" s="414" t="s">
        <v>158</v>
      </c>
      <c r="Q7" s="414" t="s">
        <v>454</v>
      </c>
      <c r="T7" s="414" t="s">
        <v>449</v>
      </c>
      <c r="U7" s="414" t="s">
        <v>528</v>
      </c>
      <c r="V7" s="414" t="s">
        <v>529</v>
      </c>
      <c r="W7" s="414" t="s">
        <v>449</v>
      </c>
      <c r="Z7" s="414" t="s">
        <v>530</v>
      </c>
      <c r="AA7" s="414" t="s">
        <v>457</v>
      </c>
      <c r="AB7" s="414" t="s">
        <v>493</v>
      </c>
      <c r="AC7" s="414" t="str">
        <f t="shared" si="0"/>
        <v>Bosnia and HerzegovinaTrain - Average passenger train</v>
      </c>
      <c r="AD7" s="414">
        <v>2021</v>
      </c>
      <c r="AE7" s="414">
        <v>4.41E-2</v>
      </c>
      <c r="AF7" s="414" t="s">
        <v>494</v>
      </c>
      <c r="AG7" s="414" t="s">
        <v>495</v>
      </c>
      <c r="AH7" s="414" t="s">
        <v>496</v>
      </c>
      <c r="AK7" s="414" t="s">
        <v>468</v>
      </c>
      <c r="AL7" s="414" t="s">
        <v>468</v>
      </c>
      <c r="AM7" s="414">
        <v>2023</v>
      </c>
      <c r="AN7" s="414">
        <v>1.2041746711409396E-4</v>
      </c>
      <c r="AO7" s="414" t="s">
        <v>505</v>
      </c>
      <c r="AP7" s="414" t="s">
        <v>506</v>
      </c>
      <c r="AR7" s="418" t="s">
        <v>468</v>
      </c>
      <c r="AS7" s="418" t="s">
        <v>468</v>
      </c>
      <c r="AT7" s="418">
        <v>2023</v>
      </c>
      <c r="AU7">
        <v>1.0833984778523489</v>
      </c>
      <c r="AV7" s="418" t="s">
        <v>507</v>
      </c>
      <c r="AW7" s="418" t="s">
        <v>506</v>
      </c>
    </row>
    <row r="8" spans="1:55">
      <c r="A8" t="s">
        <v>530</v>
      </c>
      <c r="B8" s="414">
        <v>0.55347436999999999</v>
      </c>
      <c r="D8" t="s">
        <v>531</v>
      </c>
      <c r="E8">
        <v>0.28399999999999997</v>
      </c>
      <c r="F8" t="s">
        <v>487</v>
      </c>
      <c r="G8" t="s">
        <v>521</v>
      </c>
      <c r="H8"/>
      <c r="I8"/>
      <c r="J8"/>
      <c r="Q8" s="414" t="s">
        <v>455</v>
      </c>
      <c r="T8" s="414" t="s">
        <v>449</v>
      </c>
      <c r="U8" s="414" t="s">
        <v>532</v>
      </c>
      <c r="V8" s="414" t="s">
        <v>533</v>
      </c>
      <c r="W8" s="414" t="s">
        <v>449</v>
      </c>
      <c r="Z8" s="414" t="s">
        <v>534</v>
      </c>
      <c r="AA8" s="414" t="s">
        <v>457</v>
      </c>
      <c r="AB8" s="414" t="s">
        <v>493</v>
      </c>
      <c r="AC8" s="414" t="str">
        <f t="shared" si="0"/>
        <v>BulgariaTrain - Average passenger train</v>
      </c>
      <c r="AD8" s="414">
        <v>2021</v>
      </c>
      <c r="AE8" s="414">
        <v>4.41E-2</v>
      </c>
      <c r="AF8" s="414" t="s">
        <v>494</v>
      </c>
      <c r="AG8" s="414" t="s">
        <v>495</v>
      </c>
      <c r="AH8" s="414" t="s">
        <v>496</v>
      </c>
      <c r="AK8" s="414" t="s">
        <v>452</v>
      </c>
      <c r="AL8" s="414" t="s">
        <v>469</v>
      </c>
      <c r="AM8" s="414">
        <v>2023</v>
      </c>
      <c r="AN8" s="414">
        <v>1.2341916040268456E-3</v>
      </c>
      <c r="AO8" s="414" t="s">
        <v>505</v>
      </c>
      <c r="AP8" s="414" t="s">
        <v>506</v>
      </c>
      <c r="AR8" s="418" t="s">
        <v>452</v>
      </c>
      <c r="AS8" s="418" t="s">
        <v>469</v>
      </c>
      <c r="AT8" s="418">
        <v>2023</v>
      </c>
      <c r="AU8" t="s">
        <v>535</v>
      </c>
      <c r="AV8" s="418" t="s">
        <v>507</v>
      </c>
      <c r="AW8" s="418" t="s">
        <v>506</v>
      </c>
    </row>
    <row r="9" spans="1:55">
      <c r="A9" t="s">
        <v>534</v>
      </c>
      <c r="B9" s="414">
        <v>0.55371212842365714</v>
      </c>
      <c r="D9" t="s">
        <v>91</v>
      </c>
      <c r="E9">
        <v>0.30599999999999999</v>
      </c>
      <c r="F9" t="s">
        <v>487</v>
      </c>
      <c r="G9" t="s">
        <v>488</v>
      </c>
      <c r="H9"/>
      <c r="I9"/>
      <c r="J9"/>
      <c r="Q9" s="414" t="s">
        <v>456</v>
      </c>
      <c r="T9" s="414" t="s">
        <v>449</v>
      </c>
      <c r="U9" s="414" t="s">
        <v>536</v>
      </c>
      <c r="V9" s="414" t="s">
        <v>537</v>
      </c>
      <c r="W9" s="414" t="s">
        <v>449</v>
      </c>
      <c r="Z9" s="414" t="s">
        <v>538</v>
      </c>
      <c r="AA9" s="414" t="s">
        <v>457</v>
      </c>
      <c r="AB9" s="414" t="s">
        <v>493</v>
      </c>
      <c r="AC9" s="414" t="str">
        <f t="shared" si="0"/>
        <v>CroatiaTrain - Average passenger train</v>
      </c>
      <c r="AD9" s="414">
        <v>2021</v>
      </c>
      <c r="AE9" s="414">
        <v>4.41E-2</v>
      </c>
      <c r="AF9" s="414" t="s">
        <v>494</v>
      </c>
      <c r="AG9" s="414" t="s">
        <v>495</v>
      </c>
      <c r="AH9" s="414" t="s">
        <v>496</v>
      </c>
      <c r="AK9" s="414" t="s">
        <v>539</v>
      </c>
      <c r="AL9" s="414" t="s">
        <v>470</v>
      </c>
      <c r="AM9" s="414">
        <v>2023</v>
      </c>
      <c r="AN9" s="414">
        <v>1.6209014204996385E-5</v>
      </c>
      <c r="AO9" s="414" t="s">
        <v>505</v>
      </c>
      <c r="AP9" s="414" t="s">
        <v>506</v>
      </c>
      <c r="AR9" s="419" t="s">
        <v>539</v>
      </c>
      <c r="AS9" s="419" t="s">
        <v>470</v>
      </c>
      <c r="AT9" s="419">
        <v>2023</v>
      </c>
      <c r="AU9" t="s">
        <v>535</v>
      </c>
      <c r="AV9" s="420" t="s">
        <v>507</v>
      </c>
      <c r="AW9" s="419" t="s">
        <v>506</v>
      </c>
    </row>
    <row r="10" spans="1:55">
      <c r="A10" t="s">
        <v>538</v>
      </c>
      <c r="B10" s="414">
        <v>0.25469492542699063</v>
      </c>
      <c r="D10" t="s">
        <v>540</v>
      </c>
      <c r="E10">
        <v>2.46</v>
      </c>
      <c r="F10" t="s">
        <v>487</v>
      </c>
      <c r="G10" t="s">
        <v>488</v>
      </c>
      <c r="H10"/>
      <c r="I10"/>
      <c r="J10"/>
      <c r="Q10" s="414" t="s">
        <v>457</v>
      </c>
      <c r="T10" s="414" t="s">
        <v>449</v>
      </c>
      <c r="U10" s="414" t="s">
        <v>511</v>
      </c>
      <c r="V10" s="414" t="s">
        <v>541</v>
      </c>
      <c r="W10" s="414" t="s">
        <v>449</v>
      </c>
      <c r="Z10" s="414" t="s">
        <v>542</v>
      </c>
      <c r="AA10" s="414" t="s">
        <v>457</v>
      </c>
      <c r="AB10" s="414" t="s">
        <v>493</v>
      </c>
      <c r="AC10" s="414" t="str">
        <f t="shared" si="0"/>
        <v>CzechiaTrain - Average passenger train</v>
      </c>
      <c r="AD10" s="414">
        <v>2021</v>
      </c>
      <c r="AE10" s="414">
        <v>4.41E-2</v>
      </c>
      <c r="AF10" s="414" t="s">
        <v>494</v>
      </c>
      <c r="AG10" s="414" t="s">
        <v>495</v>
      </c>
      <c r="AH10" s="414" t="s">
        <v>496</v>
      </c>
    </row>
    <row r="11" spans="1:55">
      <c r="A11" t="s">
        <v>542</v>
      </c>
      <c r="B11" s="414">
        <v>0.76413177179459346</v>
      </c>
      <c r="D11" t="s">
        <v>543</v>
      </c>
      <c r="E11">
        <v>6.67</v>
      </c>
      <c r="F11" t="s">
        <v>487</v>
      </c>
      <c r="G11" t="s">
        <v>544</v>
      </c>
      <c r="H11"/>
      <c r="I11"/>
      <c r="J11"/>
      <c r="Q11" s="414" t="s">
        <v>459</v>
      </c>
      <c r="T11" s="414" t="s">
        <v>451</v>
      </c>
      <c r="U11" s="414" t="s">
        <v>523</v>
      </c>
      <c r="V11" s="414" t="s">
        <v>451</v>
      </c>
      <c r="W11" s="414" t="s">
        <v>451</v>
      </c>
      <c r="Z11" s="414" t="s">
        <v>545</v>
      </c>
      <c r="AA11" s="414" t="s">
        <v>457</v>
      </c>
      <c r="AB11" s="414" t="s">
        <v>493</v>
      </c>
      <c r="AC11" s="414" t="str">
        <f t="shared" si="0"/>
        <v>DenmarkTrain - Average passenger train</v>
      </c>
      <c r="AD11" s="414">
        <v>2021</v>
      </c>
      <c r="AE11" s="414">
        <v>0.114</v>
      </c>
      <c r="AF11" s="414" t="s">
        <v>494</v>
      </c>
      <c r="AG11" s="414" t="s">
        <v>495</v>
      </c>
    </row>
    <row r="12" spans="1:55">
      <c r="A12" t="s">
        <v>545</v>
      </c>
      <c r="B12" s="414">
        <v>0.18730849874566136</v>
      </c>
      <c r="D12" t="s">
        <v>546</v>
      </c>
      <c r="E12">
        <v>3.1019999999999999</v>
      </c>
      <c r="F12" t="s">
        <v>487</v>
      </c>
      <c r="G12" t="s">
        <v>547</v>
      </c>
      <c r="H12"/>
      <c r="I12"/>
      <c r="J12"/>
      <c r="T12" s="414" t="s">
        <v>452</v>
      </c>
      <c r="U12" s="414" t="s">
        <v>548</v>
      </c>
      <c r="V12" s="414" t="s">
        <v>549</v>
      </c>
      <c r="W12" s="414" t="s">
        <v>452</v>
      </c>
      <c r="Z12" s="414" t="s">
        <v>550</v>
      </c>
      <c r="AA12" s="414" t="s">
        <v>457</v>
      </c>
      <c r="AB12" s="414" t="s">
        <v>493</v>
      </c>
      <c r="AC12" s="414" t="str">
        <f t="shared" si="0"/>
        <v>EstoniaTrain - Average passenger train</v>
      </c>
      <c r="AD12" s="414">
        <v>2021</v>
      </c>
      <c r="AE12" s="414">
        <v>4.41E-2</v>
      </c>
      <c r="AF12" s="414" t="s">
        <v>494</v>
      </c>
      <c r="AG12" s="414" t="s">
        <v>495</v>
      </c>
      <c r="AH12" s="414" t="s">
        <v>496</v>
      </c>
    </row>
    <row r="13" spans="1:55">
      <c r="A13" t="s">
        <v>550</v>
      </c>
      <c r="B13" s="414">
        <v>0.75352859999999999</v>
      </c>
      <c r="D13" t="s">
        <v>551</v>
      </c>
      <c r="E13">
        <v>3.7639999999999998</v>
      </c>
      <c r="F13" t="s">
        <v>487</v>
      </c>
      <c r="G13" t="s">
        <v>552</v>
      </c>
      <c r="H13"/>
      <c r="I13"/>
      <c r="J13"/>
      <c r="T13" s="414" t="s">
        <v>452</v>
      </c>
      <c r="U13" s="414" t="s">
        <v>553</v>
      </c>
      <c r="V13" s="414" t="s">
        <v>554</v>
      </c>
      <c r="W13" s="414" t="s">
        <v>452</v>
      </c>
      <c r="Z13" s="414" t="s">
        <v>555</v>
      </c>
      <c r="AA13" s="414" t="s">
        <v>457</v>
      </c>
      <c r="AB13" s="414" t="s">
        <v>493</v>
      </c>
      <c r="AC13" s="414" t="str">
        <f t="shared" si="0"/>
        <v>FinlandTrain - Average passenger train</v>
      </c>
      <c r="AD13" s="414">
        <v>2021</v>
      </c>
      <c r="AE13" s="414">
        <v>4.5199999999999997E-2</v>
      </c>
      <c r="AF13" s="414" t="s">
        <v>494</v>
      </c>
      <c r="AG13" s="414" t="s">
        <v>495</v>
      </c>
    </row>
    <row r="14" spans="1:55">
      <c r="A14" t="s">
        <v>555</v>
      </c>
      <c r="B14" s="414">
        <v>9.5304975256881669E-2</v>
      </c>
      <c r="D14" t="s">
        <v>556</v>
      </c>
      <c r="E14">
        <v>3.2639999999999998</v>
      </c>
      <c r="F14" t="s">
        <v>487</v>
      </c>
      <c r="G14" t="s">
        <v>557</v>
      </c>
      <c r="H14"/>
      <c r="I14"/>
      <c r="J14"/>
      <c r="T14" s="414" t="s">
        <v>452</v>
      </c>
      <c r="U14" s="414" t="s">
        <v>558</v>
      </c>
      <c r="V14" s="414" t="s">
        <v>559</v>
      </c>
      <c r="W14" s="414" t="s">
        <v>452</v>
      </c>
      <c r="Z14" s="414" t="s">
        <v>560</v>
      </c>
      <c r="AA14" s="414" t="s">
        <v>457</v>
      </c>
      <c r="AB14" s="414" t="s">
        <v>493</v>
      </c>
      <c r="AC14" s="414" t="str">
        <f t="shared" si="0"/>
        <v>FranceTrain - Average passenger train</v>
      </c>
      <c r="AD14" s="414">
        <v>2022</v>
      </c>
      <c r="AE14" s="414">
        <v>1.05025E-2</v>
      </c>
      <c r="AF14" s="414" t="s">
        <v>494</v>
      </c>
      <c r="AG14" s="414" t="s">
        <v>495</v>
      </c>
    </row>
    <row r="15" spans="1:55">
      <c r="A15" t="s">
        <v>560</v>
      </c>
      <c r="B15" s="414">
        <v>6.2067420718500257E-2</v>
      </c>
      <c r="D15" t="s">
        <v>561</v>
      </c>
      <c r="E15">
        <v>3.2639999999999998</v>
      </c>
      <c r="F15" t="s">
        <v>487</v>
      </c>
      <c r="G15" t="s">
        <v>557</v>
      </c>
      <c r="H15"/>
      <c r="I15"/>
      <c r="J15"/>
      <c r="T15" s="414" t="s">
        <v>452</v>
      </c>
      <c r="U15" s="414" t="s">
        <v>562</v>
      </c>
      <c r="V15" s="414" t="s">
        <v>563</v>
      </c>
      <c r="W15" s="414" t="s">
        <v>452</v>
      </c>
      <c r="Z15" s="414" t="s">
        <v>560</v>
      </c>
      <c r="AA15" s="414" t="s">
        <v>457</v>
      </c>
      <c r="AB15" s="414" t="s">
        <v>564</v>
      </c>
      <c r="AC15" s="414" t="str">
        <f t="shared" si="0"/>
        <v>FranceTrain - Light rail/Tram</v>
      </c>
      <c r="AD15" s="414">
        <v>2021</v>
      </c>
      <c r="AE15" s="414">
        <v>3.29E-3</v>
      </c>
      <c r="AF15" s="414" t="s">
        <v>494</v>
      </c>
      <c r="AG15" s="414" t="s">
        <v>495</v>
      </c>
    </row>
    <row r="16" spans="1:55">
      <c r="A16" t="s">
        <v>565</v>
      </c>
      <c r="B16" s="414">
        <v>0.44911693658973784</v>
      </c>
      <c r="D16" t="s">
        <v>566</v>
      </c>
      <c r="E16">
        <v>3.2639999999999998</v>
      </c>
      <c r="F16" t="s">
        <v>487</v>
      </c>
      <c r="G16" t="s">
        <v>557</v>
      </c>
      <c r="H16"/>
      <c r="I16"/>
      <c r="J16"/>
      <c r="T16" s="414" t="s">
        <v>452</v>
      </c>
      <c r="U16" s="414" t="s">
        <v>567</v>
      </c>
      <c r="V16" s="414" t="s">
        <v>568</v>
      </c>
      <c r="W16" s="414" t="s">
        <v>452</v>
      </c>
      <c r="Z16" s="414" t="s">
        <v>565</v>
      </c>
      <c r="AA16" s="414" t="s">
        <v>457</v>
      </c>
      <c r="AB16" s="414" t="s">
        <v>493</v>
      </c>
      <c r="AC16" s="414" t="str">
        <f t="shared" si="0"/>
        <v>GermanyTrain - Average passenger train</v>
      </c>
      <c r="AD16" s="414">
        <v>2020</v>
      </c>
      <c r="AE16" s="414">
        <v>4.5999999999999999E-2</v>
      </c>
      <c r="AF16" s="414" t="s">
        <v>494</v>
      </c>
      <c r="AG16" s="414" t="s">
        <v>645</v>
      </c>
    </row>
    <row r="17" spans="1:34">
      <c r="A17" t="s">
        <v>570</v>
      </c>
      <c r="B17" s="414">
        <v>0.3784027169229891</v>
      </c>
      <c r="D17" t="s">
        <v>571</v>
      </c>
      <c r="E17">
        <v>4.3899999999999997</v>
      </c>
      <c r="F17" t="s">
        <v>487</v>
      </c>
      <c r="G17" t="s">
        <v>572</v>
      </c>
      <c r="H17"/>
      <c r="I17"/>
      <c r="J17"/>
      <c r="T17" s="414" t="s">
        <v>452</v>
      </c>
      <c r="U17" s="414" t="s">
        <v>573</v>
      </c>
      <c r="V17" s="414" t="s">
        <v>574</v>
      </c>
      <c r="W17" s="414" t="s">
        <v>452</v>
      </c>
      <c r="Z17" s="414" t="s">
        <v>570</v>
      </c>
      <c r="AA17" s="414" t="s">
        <v>457</v>
      </c>
      <c r="AB17" s="414" t="s">
        <v>493</v>
      </c>
      <c r="AC17" s="414" t="str">
        <f t="shared" si="0"/>
        <v>GreeceTrain - Average passenger train</v>
      </c>
      <c r="AD17" s="414">
        <v>2021</v>
      </c>
      <c r="AE17" s="414">
        <v>6.6199999999999995E-2</v>
      </c>
      <c r="AF17" s="414" t="s">
        <v>494</v>
      </c>
      <c r="AG17" s="414" t="s">
        <v>495</v>
      </c>
    </row>
    <row r="18" spans="1:34">
      <c r="A18" t="s">
        <v>575</v>
      </c>
      <c r="B18" s="414">
        <v>0.27037394549640881</v>
      </c>
      <c r="D18" t="s">
        <v>576</v>
      </c>
      <c r="E18">
        <v>4.84</v>
      </c>
      <c r="F18" t="s">
        <v>487</v>
      </c>
      <c r="G18" t="s">
        <v>572</v>
      </c>
      <c r="H18"/>
      <c r="I18"/>
      <c r="J18"/>
      <c r="T18" s="414" t="s">
        <v>454</v>
      </c>
      <c r="U18" s="414" t="s">
        <v>577</v>
      </c>
      <c r="V18" s="414" t="s">
        <v>578</v>
      </c>
      <c r="W18" s="414" t="s">
        <v>454</v>
      </c>
      <c r="Z18" s="414" t="s">
        <v>575</v>
      </c>
      <c r="AA18" s="414" t="s">
        <v>457</v>
      </c>
      <c r="AB18" s="414" t="s">
        <v>493</v>
      </c>
      <c r="AC18" s="414" t="str">
        <f t="shared" si="0"/>
        <v>HungaryTrain - Average passenger train</v>
      </c>
      <c r="AD18" s="414">
        <v>2021</v>
      </c>
      <c r="AE18" s="414">
        <v>4.41E-2</v>
      </c>
      <c r="AF18" s="414" t="s">
        <v>494</v>
      </c>
      <c r="AG18" s="414" t="s">
        <v>495</v>
      </c>
      <c r="AH18" s="414" t="s">
        <v>496</v>
      </c>
    </row>
    <row r="19" spans="1:34">
      <c r="A19" t="s">
        <v>579</v>
      </c>
      <c r="B19" s="414">
        <v>1.7379341250280079E-4</v>
      </c>
      <c r="D19" s="414" t="s">
        <v>580</v>
      </c>
      <c r="E19" s="414">
        <v>6.67</v>
      </c>
      <c r="F19" t="s">
        <v>487</v>
      </c>
      <c r="G19" t="s">
        <v>488</v>
      </c>
      <c r="T19" s="414" t="s">
        <v>454</v>
      </c>
      <c r="U19" s="414" t="s">
        <v>581</v>
      </c>
      <c r="V19" s="414" t="s">
        <v>582</v>
      </c>
      <c r="W19" s="414" t="s">
        <v>454</v>
      </c>
      <c r="Z19" s="414" t="s">
        <v>579</v>
      </c>
      <c r="AA19" s="414" t="s">
        <v>457</v>
      </c>
      <c r="AB19" s="414" t="s">
        <v>493</v>
      </c>
      <c r="AC19" s="414" t="str">
        <f t="shared" si="0"/>
        <v>IcelandTrain - Average passenger train</v>
      </c>
      <c r="AD19" s="414">
        <v>2021</v>
      </c>
      <c r="AE19" s="414">
        <v>4.41E-2</v>
      </c>
      <c r="AF19" s="414" t="s">
        <v>494</v>
      </c>
      <c r="AG19" s="414" t="s">
        <v>495</v>
      </c>
      <c r="AH19" s="414" t="s">
        <v>496</v>
      </c>
    </row>
    <row r="20" spans="1:34">
      <c r="A20" t="s">
        <v>583</v>
      </c>
      <c r="B20" s="414">
        <v>0.35215740000000001</v>
      </c>
      <c r="D20" s="414" t="s">
        <v>584</v>
      </c>
      <c r="E20" s="414">
        <v>5.58</v>
      </c>
      <c r="F20" t="s">
        <v>487</v>
      </c>
      <c r="G20" t="s">
        <v>488</v>
      </c>
      <c r="T20" s="414" t="s">
        <v>455</v>
      </c>
      <c r="U20" s="414" t="s">
        <v>523</v>
      </c>
      <c r="V20" s="414" t="s">
        <v>455</v>
      </c>
      <c r="W20" s="414" t="s">
        <v>455</v>
      </c>
      <c r="Z20" s="414" t="s">
        <v>583</v>
      </c>
      <c r="AA20" s="414" t="s">
        <v>457</v>
      </c>
      <c r="AB20" s="414" t="s">
        <v>493</v>
      </c>
      <c r="AC20" s="414" t="str">
        <f t="shared" si="0"/>
        <v>IrelandTrain - Average passenger train</v>
      </c>
      <c r="AD20" s="414">
        <v>2022</v>
      </c>
      <c r="AE20" s="414">
        <v>3.8800000000000001E-2</v>
      </c>
      <c r="AF20" s="414" t="s">
        <v>494</v>
      </c>
      <c r="AG20" s="414" t="s">
        <v>495</v>
      </c>
    </row>
    <row r="21" spans="1:34">
      <c r="A21" t="s">
        <v>585</v>
      </c>
      <c r="B21" s="414">
        <v>0.36424782015087009</v>
      </c>
      <c r="D21" s="414" t="s">
        <v>586</v>
      </c>
      <c r="E21" s="414">
        <v>13.06</v>
      </c>
      <c r="F21" t="s">
        <v>487</v>
      </c>
      <c r="G21" t="s">
        <v>488</v>
      </c>
      <c r="T21" s="414" t="s">
        <v>456</v>
      </c>
      <c r="U21" s="414" t="s">
        <v>523</v>
      </c>
      <c r="V21" s="414" t="s">
        <v>456</v>
      </c>
      <c r="W21" s="414" t="s">
        <v>456</v>
      </c>
      <c r="Z21" s="414" t="s">
        <v>585</v>
      </c>
      <c r="AA21" s="414" t="s">
        <v>457</v>
      </c>
      <c r="AB21" s="414" t="s">
        <v>493</v>
      </c>
      <c r="AC21" s="414" t="str">
        <f t="shared" si="0"/>
        <v>ItalyTrain - Average passenger train</v>
      </c>
      <c r="AD21" s="414">
        <v>2021</v>
      </c>
      <c r="AE21" s="414">
        <v>3.1699999999999999E-2</v>
      </c>
      <c r="AF21" s="414" t="s">
        <v>494</v>
      </c>
      <c r="AG21" s="414" t="s">
        <v>495</v>
      </c>
    </row>
    <row r="22" spans="1:34">
      <c r="A22" t="s">
        <v>587</v>
      </c>
      <c r="B22" s="414">
        <v>0.14807459999999997</v>
      </c>
      <c r="T22" s="414" t="s">
        <v>457</v>
      </c>
      <c r="U22" s="414" t="s">
        <v>588</v>
      </c>
      <c r="V22" s="414" t="s">
        <v>493</v>
      </c>
      <c r="W22" s="414" t="s">
        <v>457</v>
      </c>
      <c r="Z22" s="414" t="s">
        <v>587</v>
      </c>
      <c r="AA22" s="414" t="s">
        <v>457</v>
      </c>
      <c r="AB22" s="414" t="s">
        <v>493</v>
      </c>
      <c r="AC22" s="414" t="str">
        <f t="shared" si="0"/>
        <v>LatviaTrain - Average passenger train</v>
      </c>
      <c r="AD22" s="414">
        <v>2021</v>
      </c>
      <c r="AE22" s="414">
        <v>4.41E-2</v>
      </c>
      <c r="AF22" s="414" t="s">
        <v>494</v>
      </c>
      <c r="AG22" s="414" t="s">
        <v>495</v>
      </c>
      <c r="AH22" s="414" t="s">
        <v>496</v>
      </c>
    </row>
    <row r="23" spans="1:34">
      <c r="A23" t="s">
        <v>589</v>
      </c>
      <c r="B23" s="414">
        <v>5.1999999999999998E-2</v>
      </c>
      <c r="T23" s="414" t="s">
        <v>457</v>
      </c>
      <c r="U23" s="414" t="s">
        <v>590</v>
      </c>
      <c r="V23" s="414" t="s">
        <v>564</v>
      </c>
      <c r="W23" s="414" t="s">
        <v>457</v>
      </c>
      <c r="Z23" s="414" t="s">
        <v>589</v>
      </c>
      <c r="AA23" s="414" t="s">
        <v>457</v>
      </c>
      <c r="AB23" s="414" t="s">
        <v>493</v>
      </c>
      <c r="AC23" s="414" t="str">
        <f t="shared" si="0"/>
        <v>LiechtensteinTrain - Average passenger train</v>
      </c>
      <c r="AD23" s="414">
        <v>2021</v>
      </c>
      <c r="AE23" s="414">
        <v>4.41E-2</v>
      </c>
      <c r="AF23" s="414" t="s">
        <v>494</v>
      </c>
      <c r="AG23" s="414" t="s">
        <v>495</v>
      </c>
      <c r="AH23" s="414" t="s">
        <v>496</v>
      </c>
    </row>
    <row r="24" spans="1:34">
      <c r="A24" t="s">
        <v>591</v>
      </c>
      <c r="B24" s="414">
        <v>0.27110339999999999</v>
      </c>
      <c r="T24" s="414" t="s">
        <v>457</v>
      </c>
      <c r="U24" s="414" t="s">
        <v>592</v>
      </c>
      <c r="V24" s="414" t="s">
        <v>593</v>
      </c>
      <c r="W24" s="414" t="s">
        <v>457</v>
      </c>
      <c r="Z24" s="414" t="s">
        <v>591</v>
      </c>
      <c r="AA24" s="414" t="s">
        <v>457</v>
      </c>
      <c r="AB24" s="414" t="s">
        <v>493</v>
      </c>
      <c r="AC24" s="414" t="str">
        <f t="shared" si="0"/>
        <v>LithuaniaTrain - Average passenger train</v>
      </c>
      <c r="AD24" s="414">
        <v>2021</v>
      </c>
      <c r="AE24" s="414">
        <v>4.41E-2</v>
      </c>
      <c r="AF24" s="414" t="s">
        <v>494</v>
      </c>
      <c r="AG24" s="414" t="s">
        <v>495</v>
      </c>
      <c r="AH24" s="414" t="s">
        <v>496</v>
      </c>
    </row>
    <row r="25" spans="1:34">
      <c r="A25" t="s">
        <v>594</v>
      </c>
      <c r="B25" s="414">
        <v>8.4927988590024303E-2</v>
      </c>
      <c r="T25" s="414" t="s">
        <v>459</v>
      </c>
      <c r="U25" s="414" t="s">
        <v>523</v>
      </c>
      <c r="V25" s="414" t="s">
        <v>595</v>
      </c>
      <c r="W25" s="414" t="s">
        <v>459</v>
      </c>
      <c r="Z25" s="414" t="s">
        <v>594</v>
      </c>
      <c r="AA25" s="414" t="s">
        <v>457</v>
      </c>
      <c r="AB25" s="414" t="s">
        <v>493</v>
      </c>
      <c r="AC25" s="414" t="str">
        <f t="shared" si="0"/>
        <v>LuxembourgTrain - Average passenger train</v>
      </c>
      <c r="AD25" s="414">
        <v>2021</v>
      </c>
      <c r="AE25" s="414">
        <v>3.9699999999999999E-2</v>
      </c>
      <c r="AF25" s="414" t="s">
        <v>494</v>
      </c>
      <c r="AG25" s="414" t="s">
        <v>495</v>
      </c>
    </row>
    <row r="26" spans="1:34">
      <c r="A26" t="s">
        <v>596</v>
      </c>
      <c r="B26" s="414">
        <v>0.42688806660022682</v>
      </c>
      <c r="T26" s="414" t="s">
        <v>459</v>
      </c>
      <c r="U26" s="414" t="s">
        <v>528</v>
      </c>
      <c r="V26" s="414" t="s">
        <v>597</v>
      </c>
      <c r="W26" s="414" t="s">
        <v>459</v>
      </c>
      <c r="Z26" s="414" t="s">
        <v>596</v>
      </c>
      <c r="AA26" s="414" t="s">
        <v>457</v>
      </c>
      <c r="AB26" s="414" t="s">
        <v>493</v>
      </c>
      <c r="AC26" s="414" t="str">
        <f t="shared" si="0"/>
        <v>MaltaTrain - Average passenger train</v>
      </c>
      <c r="AD26" s="414">
        <v>2021</v>
      </c>
      <c r="AE26" s="414">
        <v>4.41E-2</v>
      </c>
      <c r="AF26" s="414" t="s">
        <v>494</v>
      </c>
      <c r="AG26" s="414" t="s">
        <v>495</v>
      </c>
      <c r="AH26" s="414" t="s">
        <v>496</v>
      </c>
    </row>
    <row r="27" spans="1:34">
      <c r="A27" t="s">
        <v>598</v>
      </c>
      <c r="B27" s="414">
        <v>0.69981378899823199</v>
      </c>
      <c r="T27" s="414" t="s">
        <v>459</v>
      </c>
      <c r="U27" s="414" t="s">
        <v>532</v>
      </c>
      <c r="V27" s="414" t="s">
        <v>599</v>
      </c>
      <c r="W27" s="414" t="s">
        <v>459</v>
      </c>
      <c r="Z27" s="414" t="s">
        <v>598</v>
      </c>
      <c r="AA27" s="414" t="s">
        <v>457</v>
      </c>
      <c r="AB27" s="414" t="s">
        <v>493</v>
      </c>
      <c r="AC27" s="414" t="str">
        <f t="shared" si="0"/>
        <v>MoldovaTrain - Average passenger train</v>
      </c>
      <c r="AD27" s="414">
        <v>2021</v>
      </c>
      <c r="AE27" s="414">
        <v>4.41E-2</v>
      </c>
      <c r="AF27" s="414" t="s">
        <v>494</v>
      </c>
      <c r="AG27" s="414" t="s">
        <v>495</v>
      </c>
      <c r="AH27" s="414" t="s">
        <v>496</v>
      </c>
    </row>
    <row r="28" spans="1:34">
      <c r="A28" t="s">
        <v>600</v>
      </c>
      <c r="B28" s="414">
        <v>6.8000000000000005E-2</v>
      </c>
      <c r="T28" s="414" t="s">
        <v>459</v>
      </c>
      <c r="U28" s="414" t="s">
        <v>511</v>
      </c>
      <c r="V28" s="414" t="s">
        <v>601</v>
      </c>
      <c r="W28" s="414" t="s">
        <v>459</v>
      </c>
      <c r="Z28" s="414" t="s">
        <v>600</v>
      </c>
      <c r="AA28" s="414" t="s">
        <v>457</v>
      </c>
      <c r="AB28" s="414" t="s">
        <v>493</v>
      </c>
      <c r="AC28" s="414" t="str">
        <f t="shared" si="0"/>
        <v>MonacoTrain - Average passenger train</v>
      </c>
      <c r="AD28" s="414">
        <v>2021</v>
      </c>
      <c r="AE28" s="414">
        <v>4.41E-2</v>
      </c>
      <c r="AF28" s="414" t="s">
        <v>494</v>
      </c>
      <c r="AG28" s="414" t="s">
        <v>495</v>
      </c>
      <c r="AH28" s="414" t="s">
        <v>496</v>
      </c>
    </row>
    <row r="29" spans="1:34">
      <c r="A29" t="s">
        <v>602</v>
      </c>
      <c r="B29" s="414">
        <v>0.64377159146362417</v>
      </c>
      <c r="Z29" s="414" t="s">
        <v>602</v>
      </c>
      <c r="AA29" s="414" t="s">
        <v>457</v>
      </c>
      <c r="AB29" s="414" t="s">
        <v>493</v>
      </c>
      <c r="AC29" s="414" t="str">
        <f t="shared" si="0"/>
        <v>MontenegroTrain - Average passenger train</v>
      </c>
      <c r="AD29" s="414">
        <v>2021</v>
      </c>
      <c r="AE29" s="414">
        <v>4.41E-2</v>
      </c>
      <c r="AF29" s="414" t="s">
        <v>494</v>
      </c>
      <c r="AG29" s="414" t="s">
        <v>495</v>
      </c>
      <c r="AH29" s="414" t="s">
        <v>496</v>
      </c>
    </row>
    <row r="30" spans="1:34">
      <c r="A30" t="s">
        <v>603</v>
      </c>
      <c r="B30" s="414">
        <v>0.3408892742018626</v>
      </c>
      <c r="Z30" s="414" t="s">
        <v>603</v>
      </c>
      <c r="AA30" s="414" t="s">
        <v>457</v>
      </c>
      <c r="AB30" s="414" t="s">
        <v>493</v>
      </c>
      <c r="AC30" s="414" t="str">
        <f t="shared" si="0"/>
        <v>NetherlandsTrain - Average passenger train</v>
      </c>
      <c r="AD30" s="414">
        <v>2024</v>
      </c>
      <c r="AE30" s="414">
        <v>1.7000000000000001E-2</v>
      </c>
      <c r="AF30" s="414" t="s">
        <v>494</v>
      </c>
      <c r="AG30" s="417" t="s">
        <v>604</v>
      </c>
    </row>
    <row r="31" spans="1:34">
      <c r="A31" t="s">
        <v>605</v>
      </c>
      <c r="B31" s="414">
        <v>0.53801538163842011</v>
      </c>
      <c r="Z31" s="414" t="s">
        <v>605</v>
      </c>
      <c r="AA31" s="414" t="s">
        <v>457</v>
      </c>
      <c r="AB31" s="414" t="s">
        <v>493</v>
      </c>
      <c r="AC31" s="414" t="str">
        <f t="shared" si="0"/>
        <v>North MacedoniaTrain - Average passenger train</v>
      </c>
      <c r="AD31" s="414">
        <v>2021</v>
      </c>
      <c r="AE31" s="414">
        <v>4.41E-2</v>
      </c>
      <c r="AF31" s="414" t="s">
        <v>494</v>
      </c>
      <c r="AG31" s="414" t="s">
        <v>495</v>
      </c>
      <c r="AH31" s="414" t="s">
        <v>496</v>
      </c>
    </row>
    <row r="32" spans="1:34">
      <c r="A32" t="s">
        <v>606</v>
      </c>
      <c r="B32" s="414">
        <v>8.3168976597133917E-3</v>
      </c>
      <c r="Z32" s="414" t="s">
        <v>606</v>
      </c>
      <c r="AA32" s="414" t="s">
        <v>457</v>
      </c>
      <c r="AB32" s="414" t="s">
        <v>493</v>
      </c>
      <c r="AC32" s="414" t="str">
        <f t="shared" si="0"/>
        <v>NorwayTrain - Average passenger train</v>
      </c>
      <c r="AD32" s="414">
        <v>2021</v>
      </c>
      <c r="AE32" s="414">
        <v>0.04</v>
      </c>
      <c r="AF32" s="414" t="s">
        <v>494</v>
      </c>
      <c r="AG32" s="414" t="s">
        <v>495</v>
      </c>
    </row>
    <row r="33" spans="1:34">
      <c r="A33" t="s">
        <v>607</v>
      </c>
      <c r="B33" s="414">
        <v>0.87761038822914339</v>
      </c>
      <c r="Z33" s="414" t="s">
        <v>607</v>
      </c>
      <c r="AA33" s="414" t="s">
        <v>457</v>
      </c>
      <c r="AB33" s="414" t="s">
        <v>493</v>
      </c>
      <c r="AC33" s="414" t="str">
        <f t="shared" si="0"/>
        <v>PolandTrain - Average passenger train</v>
      </c>
      <c r="AD33" s="414">
        <v>2021</v>
      </c>
      <c r="AE33" s="414">
        <v>4.41E-2</v>
      </c>
      <c r="AF33" s="414" t="s">
        <v>494</v>
      </c>
      <c r="AG33" s="414" t="s">
        <v>495</v>
      </c>
      <c r="AH33" s="414" t="s">
        <v>496</v>
      </c>
    </row>
    <row r="34" spans="1:34">
      <c r="A34" t="s">
        <v>608</v>
      </c>
      <c r="B34" s="414">
        <v>0.15640799999999999</v>
      </c>
      <c r="Z34" s="414" t="s">
        <v>608</v>
      </c>
      <c r="AA34" s="414" t="s">
        <v>457</v>
      </c>
      <c r="AB34" s="414" t="s">
        <v>493</v>
      </c>
      <c r="AC34" s="414" t="str">
        <f t="shared" si="0"/>
        <v>PortugalTrain - Average passenger train</v>
      </c>
      <c r="AD34" s="414">
        <v>2021</v>
      </c>
      <c r="AE34" s="414">
        <v>6.1499999999999999E-2</v>
      </c>
      <c r="AF34" s="414" t="s">
        <v>494</v>
      </c>
      <c r="AG34" s="414" t="s">
        <v>495</v>
      </c>
    </row>
    <row r="35" spans="1:34">
      <c r="A35" t="s">
        <v>609</v>
      </c>
      <c r="B35" s="414">
        <v>0.31147529451183886</v>
      </c>
      <c r="Z35" s="414" t="s">
        <v>609</v>
      </c>
      <c r="AA35" s="414" t="s">
        <v>457</v>
      </c>
      <c r="AB35" s="414" t="s">
        <v>493</v>
      </c>
      <c r="AC35" s="414" t="str">
        <f t="shared" si="0"/>
        <v>RomaniaTrain - Average passenger train</v>
      </c>
      <c r="AD35" s="414">
        <v>2021</v>
      </c>
      <c r="AE35" s="414">
        <v>4.41E-2</v>
      </c>
      <c r="AF35" s="414" t="s">
        <v>494</v>
      </c>
      <c r="AG35" s="414" t="s">
        <v>495</v>
      </c>
      <c r="AH35" s="414" t="s">
        <v>496</v>
      </c>
    </row>
    <row r="36" spans="1:34">
      <c r="A36" t="s">
        <v>610</v>
      </c>
      <c r="B36" s="414">
        <v>0.224</v>
      </c>
      <c r="Z36" s="414" t="s">
        <v>610</v>
      </c>
      <c r="AA36" s="414" t="s">
        <v>457</v>
      </c>
      <c r="AB36" s="414" t="s">
        <v>493</v>
      </c>
      <c r="AC36" s="414" t="str">
        <f t="shared" si="0"/>
        <v>San MarinoTrain - Average passenger train</v>
      </c>
      <c r="AD36" s="414">
        <v>2021</v>
      </c>
      <c r="AE36" s="414">
        <v>4.41E-2</v>
      </c>
      <c r="AF36" s="414" t="s">
        <v>494</v>
      </c>
      <c r="AG36" s="414" t="s">
        <v>495</v>
      </c>
      <c r="AH36" s="414" t="s">
        <v>496</v>
      </c>
    </row>
    <row r="37" spans="1:34">
      <c r="A37" t="s">
        <v>611</v>
      </c>
      <c r="B37" s="414">
        <v>0.96323056870070567</v>
      </c>
      <c r="Z37" s="414" t="s">
        <v>611</v>
      </c>
      <c r="AA37" s="414" t="s">
        <v>457</v>
      </c>
      <c r="AB37" s="414" t="s">
        <v>493</v>
      </c>
      <c r="AC37" s="414" t="str">
        <f t="shared" si="0"/>
        <v>SerbiaTrain - Average passenger train</v>
      </c>
      <c r="AD37" s="414">
        <v>2021</v>
      </c>
      <c r="AE37" s="414">
        <v>4.41E-2</v>
      </c>
      <c r="AF37" s="414" t="s">
        <v>494</v>
      </c>
      <c r="AG37" s="414" t="s">
        <v>495</v>
      </c>
      <c r="AH37" s="414" t="s">
        <v>496</v>
      </c>
    </row>
    <row r="38" spans="1:34">
      <c r="A38" t="s">
        <v>612</v>
      </c>
      <c r="B38" s="414">
        <v>0.17622386469984025</v>
      </c>
      <c r="Z38" s="414" t="s">
        <v>612</v>
      </c>
      <c r="AA38" s="414" t="s">
        <v>457</v>
      </c>
      <c r="AB38" s="414" t="s">
        <v>493</v>
      </c>
      <c r="AC38" s="414" t="str">
        <f t="shared" si="0"/>
        <v>SlovakiaTrain - Average passenger train</v>
      </c>
      <c r="AD38" s="414">
        <v>2021</v>
      </c>
      <c r="AE38" s="414">
        <v>4.41E-2</v>
      </c>
      <c r="AF38" s="414" t="s">
        <v>494</v>
      </c>
      <c r="AG38" s="414" t="s">
        <v>495</v>
      </c>
      <c r="AH38" s="414" t="s">
        <v>496</v>
      </c>
    </row>
    <row r="39" spans="1:34">
      <c r="A39" t="s">
        <v>613</v>
      </c>
      <c r="B39" s="414">
        <v>0.2732924509095479</v>
      </c>
      <c r="Z39" s="414" t="s">
        <v>613</v>
      </c>
      <c r="AA39" s="414" t="s">
        <v>457</v>
      </c>
      <c r="AB39" s="414" t="s">
        <v>493</v>
      </c>
      <c r="AC39" s="414" t="str">
        <f t="shared" si="0"/>
        <v>SloveniaTrain - Average passenger train</v>
      </c>
      <c r="AD39" s="414">
        <v>2021</v>
      </c>
      <c r="AE39" s="414">
        <v>4.41E-2</v>
      </c>
      <c r="AF39" s="414" t="s">
        <v>494</v>
      </c>
      <c r="AG39" s="414" t="s">
        <v>495</v>
      </c>
      <c r="AH39" s="414" t="s">
        <v>496</v>
      </c>
    </row>
    <row r="40" spans="1:34">
      <c r="A40" t="s">
        <v>614</v>
      </c>
      <c r="B40" s="414">
        <v>0.17708841503759398</v>
      </c>
      <c r="Z40" s="414" t="s">
        <v>614</v>
      </c>
      <c r="AA40" s="414" t="s">
        <v>457</v>
      </c>
      <c r="AB40" s="414" t="s">
        <v>493</v>
      </c>
      <c r="AC40" s="414" t="str">
        <f t="shared" si="0"/>
        <v>SpainTrain - Average passenger train</v>
      </c>
      <c r="AD40" s="414">
        <v>2021</v>
      </c>
      <c r="AE40" s="414">
        <v>5.1400000000000001E-2</v>
      </c>
      <c r="AF40" s="414" t="s">
        <v>494</v>
      </c>
      <c r="AG40" s="414" t="s">
        <v>495</v>
      </c>
    </row>
    <row r="41" spans="1:34">
      <c r="A41" t="s">
        <v>615</v>
      </c>
      <c r="B41" s="414">
        <v>7.3051603498542278E-3</v>
      </c>
      <c r="Z41" s="414" t="s">
        <v>615</v>
      </c>
      <c r="AA41" s="414" t="s">
        <v>457</v>
      </c>
      <c r="AB41" s="414" t="s">
        <v>493</v>
      </c>
      <c r="AC41" s="414" t="str">
        <f t="shared" si="0"/>
        <v>SwedenTrain - Average passenger train</v>
      </c>
      <c r="AD41" s="414">
        <v>2021</v>
      </c>
      <c r="AE41" s="414">
        <v>1.29E-2</v>
      </c>
      <c r="AF41" s="414" t="s">
        <v>494</v>
      </c>
      <c r="AG41" s="414" t="s">
        <v>495</v>
      </c>
    </row>
    <row r="42" spans="1:34">
      <c r="A42" t="s">
        <v>616</v>
      </c>
      <c r="B42" s="414">
        <v>2.7762917834946309E-3</v>
      </c>
      <c r="Z42" s="414" t="s">
        <v>616</v>
      </c>
      <c r="AA42" s="414" t="s">
        <v>457</v>
      </c>
      <c r="AB42" s="414" t="s">
        <v>493</v>
      </c>
      <c r="AC42" s="414" t="str">
        <f t="shared" si="0"/>
        <v>SwitzerlandTrain - Average passenger train</v>
      </c>
      <c r="AD42" s="414">
        <v>2021</v>
      </c>
      <c r="AE42" s="414">
        <v>4.41E-2</v>
      </c>
      <c r="AF42" s="414" t="s">
        <v>494</v>
      </c>
      <c r="AG42" s="414" t="s">
        <v>495</v>
      </c>
      <c r="AH42" s="414" t="s">
        <v>496</v>
      </c>
    </row>
    <row r="43" spans="1:34">
      <c r="A43" t="s">
        <v>617</v>
      </c>
      <c r="B43" s="414">
        <v>0.2037488281345777</v>
      </c>
      <c r="Z43" s="414" t="s">
        <v>617</v>
      </c>
      <c r="AA43" s="414" t="s">
        <v>457</v>
      </c>
      <c r="AB43" s="414" t="s">
        <v>493</v>
      </c>
      <c r="AC43" s="414" t="str">
        <f t="shared" si="0"/>
        <v>UkraineTrain - Average passenger train</v>
      </c>
      <c r="AD43" s="414">
        <v>2021</v>
      </c>
      <c r="AE43" s="414">
        <v>4.41E-2</v>
      </c>
      <c r="AF43" s="414" t="s">
        <v>494</v>
      </c>
      <c r="AG43" s="414" t="s">
        <v>495</v>
      </c>
      <c r="AH43" s="414" t="s">
        <v>496</v>
      </c>
    </row>
    <row r="44" spans="1:34">
      <c r="A44" t="s">
        <v>618</v>
      </c>
      <c r="B44" s="414">
        <v>0.22498940000000001</v>
      </c>
      <c r="Z44" s="414" t="s">
        <v>618</v>
      </c>
      <c r="AA44" s="414" t="s">
        <v>457</v>
      </c>
      <c r="AB44" s="414" t="s">
        <v>493</v>
      </c>
      <c r="AC44" s="414" t="str">
        <f t="shared" si="0"/>
        <v>United KingdomTrain - Average passenger train</v>
      </c>
      <c r="AD44" s="414">
        <v>2023</v>
      </c>
      <c r="AE44" s="414">
        <v>4.4429137674049324E-2</v>
      </c>
      <c r="AF44" s="414" t="s">
        <v>619</v>
      </c>
      <c r="AG44" s="414" t="s">
        <v>506</v>
      </c>
    </row>
    <row r="45" spans="1:34">
      <c r="Z45" s="414" t="s">
        <v>579</v>
      </c>
      <c r="AA45" s="414" t="s">
        <v>457</v>
      </c>
      <c r="AB45" s="414" t="s">
        <v>564</v>
      </c>
      <c r="AC45" s="414" t="str">
        <f t="shared" si="0"/>
        <v>IcelandTrain - Light rail/Tram</v>
      </c>
      <c r="AD45" s="414">
        <v>2021</v>
      </c>
      <c r="AE45" s="414">
        <v>2.6800000000000001E-3</v>
      </c>
      <c r="AF45" s="414" t="s">
        <v>494</v>
      </c>
      <c r="AG45" s="414" t="s">
        <v>495</v>
      </c>
      <c r="AH45" s="414" t="s">
        <v>620</v>
      </c>
    </row>
    <row r="46" spans="1:34">
      <c r="Z46" s="414" t="s">
        <v>615</v>
      </c>
      <c r="AA46" s="414" t="s">
        <v>457</v>
      </c>
      <c r="AB46" s="414" t="s">
        <v>564</v>
      </c>
      <c r="AC46" s="414" t="str">
        <f t="shared" si="0"/>
        <v>SwedenTrain - Light rail/Tram</v>
      </c>
      <c r="AD46" s="414">
        <v>2021</v>
      </c>
      <c r="AE46" s="414">
        <v>2.6800000000000001E-3</v>
      </c>
      <c r="AF46" s="414" t="s">
        <v>494</v>
      </c>
      <c r="AG46" s="414" t="s">
        <v>495</v>
      </c>
      <c r="AH46" s="414" t="s">
        <v>620</v>
      </c>
    </row>
    <row r="47" spans="1:34">
      <c r="Z47" s="414" t="s">
        <v>606</v>
      </c>
      <c r="AA47" s="414" t="s">
        <v>457</v>
      </c>
      <c r="AB47" s="414" t="s">
        <v>564</v>
      </c>
      <c r="AC47" s="414" t="str">
        <f t="shared" si="0"/>
        <v>NorwayTrain - Light rail/Tram</v>
      </c>
      <c r="AD47" s="414">
        <v>2021</v>
      </c>
      <c r="AE47" s="414">
        <v>2.6800000000000001E-3</v>
      </c>
      <c r="AF47" s="414" t="s">
        <v>494</v>
      </c>
      <c r="AG47" s="414" t="s">
        <v>495</v>
      </c>
      <c r="AH47" s="414" t="s">
        <v>620</v>
      </c>
    </row>
    <row r="48" spans="1:34">
      <c r="Z48" s="414" t="s">
        <v>616</v>
      </c>
      <c r="AA48" s="414" t="s">
        <v>457</v>
      </c>
      <c r="AB48" s="414" t="s">
        <v>564</v>
      </c>
      <c r="AC48" s="414" t="str">
        <f t="shared" si="0"/>
        <v>SwitzerlandTrain - Light rail/Tram</v>
      </c>
      <c r="AD48" s="414">
        <v>2021</v>
      </c>
      <c r="AE48" s="414">
        <v>2.6800000000000001E-3</v>
      </c>
      <c r="AF48" s="414" t="s">
        <v>494</v>
      </c>
      <c r="AG48" s="414" t="s">
        <v>495</v>
      </c>
      <c r="AH48" s="414" t="s">
        <v>620</v>
      </c>
    </row>
    <row r="49" spans="26:34">
      <c r="Z49" s="414" t="s">
        <v>589</v>
      </c>
      <c r="AA49" s="414" t="s">
        <v>457</v>
      </c>
      <c r="AB49" s="414" t="s">
        <v>564</v>
      </c>
      <c r="AC49" s="414" t="str">
        <f t="shared" si="0"/>
        <v>LiechtensteinTrain - Light rail/Tram</v>
      </c>
      <c r="AD49" s="414">
        <v>2021</v>
      </c>
      <c r="AE49" s="414">
        <v>2.6800000000000001E-3</v>
      </c>
      <c r="AF49" s="414" t="s">
        <v>494</v>
      </c>
      <c r="AG49" s="414" t="s">
        <v>495</v>
      </c>
      <c r="AH49" s="414" t="s">
        <v>620</v>
      </c>
    </row>
    <row r="50" spans="26:34">
      <c r="Z50" s="414" t="s">
        <v>594</v>
      </c>
      <c r="AA50" s="414" t="s">
        <v>457</v>
      </c>
      <c r="AB50" s="414" t="s">
        <v>564</v>
      </c>
      <c r="AC50" s="414" t="str">
        <f t="shared" si="0"/>
        <v>LuxembourgTrain - Light rail/Tram</v>
      </c>
      <c r="AD50" s="414">
        <v>2021</v>
      </c>
      <c r="AE50" s="414">
        <v>2.6800000000000001E-3</v>
      </c>
      <c r="AF50" s="414" t="s">
        <v>494</v>
      </c>
      <c r="AG50" s="414" t="s">
        <v>495</v>
      </c>
      <c r="AH50" s="414" t="s">
        <v>620</v>
      </c>
    </row>
    <row r="51" spans="26:34">
      <c r="Z51" s="414" t="s">
        <v>555</v>
      </c>
      <c r="AA51" s="414" t="s">
        <v>457</v>
      </c>
      <c r="AB51" s="414" t="s">
        <v>564</v>
      </c>
      <c r="AC51" s="414" t="str">
        <f t="shared" si="0"/>
        <v>FinlandTrain - Light rail/Tram</v>
      </c>
      <c r="AD51" s="414">
        <v>2021</v>
      </c>
      <c r="AE51" s="414">
        <v>2.6800000000000001E-3</v>
      </c>
      <c r="AF51" s="414" t="s">
        <v>494</v>
      </c>
      <c r="AG51" s="414" t="s">
        <v>495</v>
      </c>
      <c r="AH51" s="414" t="s">
        <v>620</v>
      </c>
    </row>
    <row r="52" spans="26:34">
      <c r="Z52" s="414" t="s">
        <v>560</v>
      </c>
      <c r="AA52" s="414" t="s">
        <v>457</v>
      </c>
      <c r="AB52" s="414" t="s">
        <v>564</v>
      </c>
      <c r="AC52" s="414" t="str">
        <f t="shared" si="0"/>
        <v>FranceTrain - Light rail/Tram</v>
      </c>
      <c r="AD52" s="414">
        <v>2021</v>
      </c>
      <c r="AE52" s="414">
        <v>2.6800000000000001E-3</v>
      </c>
      <c r="AF52" s="414" t="s">
        <v>494</v>
      </c>
      <c r="AG52" s="414" t="s">
        <v>495</v>
      </c>
      <c r="AH52" s="414" t="s">
        <v>620</v>
      </c>
    </row>
    <row r="53" spans="26:34">
      <c r="Z53" s="414" t="s">
        <v>600</v>
      </c>
      <c r="AA53" s="414" t="s">
        <v>457</v>
      </c>
      <c r="AB53" s="414" t="s">
        <v>564</v>
      </c>
      <c r="AC53" s="414" t="str">
        <f t="shared" si="0"/>
        <v>MonacoTrain - Light rail/Tram</v>
      </c>
      <c r="AD53" s="414">
        <v>2021</v>
      </c>
      <c r="AE53" s="414">
        <v>2.6800000000000001E-3</v>
      </c>
      <c r="AF53" s="414" t="s">
        <v>494</v>
      </c>
      <c r="AG53" s="414" t="s">
        <v>495</v>
      </c>
      <c r="AH53" s="414" t="s">
        <v>620</v>
      </c>
    </row>
    <row r="54" spans="26:34">
      <c r="Z54" s="414" t="s">
        <v>504</v>
      </c>
      <c r="AA54" s="414" t="s">
        <v>457</v>
      </c>
      <c r="AB54" s="414" t="s">
        <v>564</v>
      </c>
      <c r="AC54" s="414" t="str">
        <f t="shared" si="0"/>
        <v>AndorraTrain - Light rail/Tram</v>
      </c>
      <c r="AD54" s="414">
        <v>2021</v>
      </c>
      <c r="AE54" s="414">
        <v>2.6800000000000001E-3</v>
      </c>
      <c r="AF54" s="414" t="s">
        <v>494</v>
      </c>
      <c r="AG54" s="414" t="s">
        <v>495</v>
      </c>
      <c r="AH54" s="414" t="s">
        <v>620</v>
      </c>
    </row>
    <row r="55" spans="26:34">
      <c r="Z55" s="414" t="s">
        <v>587</v>
      </c>
      <c r="AA55" s="414" t="s">
        <v>457</v>
      </c>
      <c r="AB55" s="414" t="s">
        <v>564</v>
      </c>
      <c r="AC55" s="414" t="str">
        <f t="shared" si="0"/>
        <v>LatviaTrain - Light rail/Tram</v>
      </c>
      <c r="AD55" s="414">
        <v>2021</v>
      </c>
      <c r="AE55" s="414">
        <v>2.6800000000000001E-3</v>
      </c>
      <c r="AF55" s="414" t="s">
        <v>494</v>
      </c>
      <c r="AG55" s="414" t="s">
        <v>495</v>
      </c>
      <c r="AH55" s="414" t="s">
        <v>620</v>
      </c>
    </row>
    <row r="56" spans="26:34">
      <c r="Z56" s="414" t="s">
        <v>513</v>
      </c>
      <c r="AA56" s="414" t="s">
        <v>457</v>
      </c>
      <c r="AB56" s="414" t="s">
        <v>564</v>
      </c>
      <c r="AC56" s="414" t="str">
        <f t="shared" si="0"/>
        <v>AustriaTrain - Light rail/Tram</v>
      </c>
      <c r="AD56" s="414">
        <v>2021</v>
      </c>
      <c r="AE56" s="414">
        <v>2.6800000000000001E-3</v>
      </c>
      <c r="AF56" s="414" t="s">
        <v>494</v>
      </c>
      <c r="AG56" s="414" t="s">
        <v>495</v>
      </c>
      <c r="AH56" s="414" t="s">
        <v>620</v>
      </c>
    </row>
    <row r="57" spans="26:34">
      <c r="Z57" s="414" t="s">
        <v>545</v>
      </c>
      <c r="AA57" s="414" t="s">
        <v>457</v>
      </c>
      <c r="AB57" s="414" t="s">
        <v>564</v>
      </c>
      <c r="AC57" s="414" t="str">
        <f t="shared" si="0"/>
        <v>DenmarkTrain - Light rail/Tram</v>
      </c>
      <c r="AD57" s="414">
        <v>2023</v>
      </c>
      <c r="AE57" s="414">
        <v>3.6091831651276413E-2</v>
      </c>
      <c r="AF57" s="414" t="s">
        <v>619</v>
      </c>
      <c r="AG57" s="414" t="s">
        <v>506</v>
      </c>
      <c r="AH57" s="414" t="s">
        <v>621</v>
      </c>
    </row>
    <row r="58" spans="26:34">
      <c r="Z58" s="414" t="s">
        <v>612</v>
      </c>
      <c r="AA58" s="414" t="s">
        <v>457</v>
      </c>
      <c r="AB58" s="414" t="s">
        <v>564</v>
      </c>
      <c r="AC58" s="414" t="str">
        <f t="shared" si="0"/>
        <v>SlovakiaTrain - Light rail/Tram</v>
      </c>
      <c r="AD58" s="414">
        <v>2023</v>
      </c>
      <c r="AE58" s="414">
        <v>3.6091831651276413E-2</v>
      </c>
      <c r="AF58" s="414" t="s">
        <v>619</v>
      </c>
      <c r="AG58" s="414" t="s">
        <v>506</v>
      </c>
      <c r="AH58" s="414" t="s">
        <v>621</v>
      </c>
    </row>
    <row r="59" spans="26:34">
      <c r="Z59" s="414" t="s">
        <v>538</v>
      </c>
      <c r="AA59" s="414" t="s">
        <v>457</v>
      </c>
      <c r="AB59" s="414" t="s">
        <v>564</v>
      </c>
      <c r="AC59" s="414" t="str">
        <f t="shared" si="0"/>
        <v>CroatiaTrain - Light rail/Tram</v>
      </c>
      <c r="AD59" s="414">
        <v>2023</v>
      </c>
      <c r="AE59" s="414">
        <v>3.6091831651276413E-2</v>
      </c>
      <c r="AF59" s="414" t="s">
        <v>619</v>
      </c>
      <c r="AG59" s="414" t="s">
        <v>506</v>
      </c>
      <c r="AH59" s="414" t="s">
        <v>621</v>
      </c>
    </row>
    <row r="60" spans="26:34">
      <c r="Z60" s="414" t="s">
        <v>525</v>
      </c>
      <c r="AA60" s="414" t="s">
        <v>457</v>
      </c>
      <c r="AB60" s="414" t="s">
        <v>564</v>
      </c>
      <c r="AC60" s="414" t="str">
        <f t="shared" si="0"/>
        <v>BelgiumTrain - Light rail/Tram</v>
      </c>
      <c r="AD60" s="414">
        <v>2023</v>
      </c>
      <c r="AE60" s="414">
        <v>3.0000000000000001E-3</v>
      </c>
      <c r="AF60" s="414" t="s">
        <v>619</v>
      </c>
      <c r="AG60" s="414" t="s">
        <v>526</v>
      </c>
    </row>
    <row r="61" spans="26:34">
      <c r="Z61" s="414" t="s">
        <v>608</v>
      </c>
      <c r="AA61" s="414" t="s">
        <v>457</v>
      </c>
      <c r="AB61" s="414" t="s">
        <v>564</v>
      </c>
      <c r="AC61" s="414" t="str">
        <f t="shared" si="0"/>
        <v>PortugalTrain - Light rail/Tram</v>
      </c>
      <c r="AD61" s="414">
        <v>2023</v>
      </c>
      <c r="AE61" s="414">
        <v>3.6091831651276413E-2</v>
      </c>
      <c r="AF61" s="414" t="s">
        <v>619</v>
      </c>
      <c r="AG61" s="414" t="s">
        <v>506</v>
      </c>
      <c r="AH61" s="414" t="s">
        <v>621</v>
      </c>
    </row>
    <row r="62" spans="26:34">
      <c r="Z62" s="414" t="s">
        <v>575</v>
      </c>
      <c r="AA62" s="414" t="s">
        <v>457</v>
      </c>
      <c r="AB62" s="414" t="s">
        <v>564</v>
      </c>
      <c r="AC62" s="414" t="str">
        <f t="shared" si="0"/>
        <v>HungaryTrain - Light rail/Tram</v>
      </c>
      <c r="AD62" s="414">
        <v>2023</v>
      </c>
      <c r="AE62" s="414">
        <v>3.6091831651276413E-2</v>
      </c>
      <c r="AF62" s="414" t="s">
        <v>619</v>
      </c>
      <c r="AG62" s="414" t="s">
        <v>506</v>
      </c>
      <c r="AH62" s="414" t="s">
        <v>621</v>
      </c>
    </row>
    <row r="63" spans="26:34">
      <c r="Z63" s="414" t="s">
        <v>591</v>
      </c>
      <c r="AA63" s="414" t="s">
        <v>457</v>
      </c>
      <c r="AB63" s="414" t="s">
        <v>564</v>
      </c>
      <c r="AC63" s="414" t="str">
        <f t="shared" si="0"/>
        <v>LithuaniaTrain - Light rail/Tram</v>
      </c>
      <c r="AD63" s="414">
        <v>2023</v>
      </c>
      <c r="AE63" s="414">
        <v>3.6091831651276413E-2</v>
      </c>
      <c r="AF63" s="414" t="s">
        <v>619</v>
      </c>
      <c r="AG63" s="414" t="s">
        <v>506</v>
      </c>
      <c r="AH63" s="414" t="s">
        <v>621</v>
      </c>
    </row>
    <row r="64" spans="26:34">
      <c r="Z64" s="414" t="s">
        <v>614</v>
      </c>
      <c r="AA64" s="414" t="s">
        <v>457</v>
      </c>
      <c r="AB64" s="414" t="s">
        <v>564</v>
      </c>
      <c r="AC64" s="414" t="str">
        <f t="shared" si="0"/>
        <v>SpainTrain - Light rail/Tram</v>
      </c>
      <c r="AD64" s="414">
        <v>2023</v>
      </c>
      <c r="AE64" s="414">
        <v>3.6091831651276413E-2</v>
      </c>
      <c r="AF64" s="414" t="s">
        <v>619</v>
      </c>
      <c r="AG64" s="414" t="s">
        <v>506</v>
      </c>
      <c r="AH64" s="414" t="s">
        <v>621</v>
      </c>
    </row>
    <row r="65" spans="26:34">
      <c r="Z65" s="414" t="s">
        <v>613</v>
      </c>
      <c r="AA65" s="414" t="s">
        <v>457</v>
      </c>
      <c r="AB65" s="414" t="s">
        <v>564</v>
      </c>
      <c r="AC65" s="414" t="str">
        <f t="shared" si="0"/>
        <v>SloveniaTrain - Light rail/Tram</v>
      </c>
      <c r="AD65" s="414">
        <v>2023</v>
      </c>
      <c r="AE65" s="414">
        <v>3.6091831651276413E-2</v>
      </c>
      <c r="AF65" s="414" t="s">
        <v>619</v>
      </c>
      <c r="AG65" s="414" t="s">
        <v>506</v>
      </c>
      <c r="AH65" s="414" t="s">
        <v>621</v>
      </c>
    </row>
    <row r="66" spans="26:34">
      <c r="Z66" s="414" t="s">
        <v>610</v>
      </c>
      <c r="AA66" s="414" t="s">
        <v>457</v>
      </c>
      <c r="AB66" s="414" t="s">
        <v>564</v>
      </c>
      <c r="AC66" s="414" t="str">
        <f t="shared" si="0"/>
        <v>San MarinoTrain - Light rail/Tram</v>
      </c>
      <c r="AD66" s="414">
        <v>2023</v>
      </c>
      <c r="AE66" s="414">
        <v>3.6091831651276413E-2</v>
      </c>
      <c r="AF66" s="414" t="s">
        <v>619</v>
      </c>
      <c r="AG66" s="414" t="s">
        <v>506</v>
      </c>
      <c r="AH66" s="414" t="s">
        <v>621</v>
      </c>
    </row>
    <row r="67" spans="26:34">
      <c r="Z67" s="414" t="s">
        <v>618</v>
      </c>
      <c r="AA67" s="414" t="s">
        <v>457</v>
      </c>
      <c r="AB67" s="414" t="s">
        <v>564</v>
      </c>
      <c r="AC67" s="414" t="str">
        <f t="shared" ref="AC67:AC130" si="1">Z67&amp;AB67</f>
        <v>United KingdomTrain - Light rail/Tram</v>
      </c>
      <c r="AD67" s="414">
        <v>2023</v>
      </c>
      <c r="AE67" s="414">
        <v>3.6091831651276413E-2</v>
      </c>
      <c r="AF67" s="414" t="s">
        <v>619</v>
      </c>
      <c r="AG67" s="414" t="s">
        <v>506</v>
      </c>
      <c r="AH67" s="414" t="s">
        <v>621</v>
      </c>
    </row>
    <row r="68" spans="26:34">
      <c r="Z68" s="414" t="s">
        <v>617</v>
      </c>
      <c r="AA68" s="414" t="s">
        <v>457</v>
      </c>
      <c r="AB68" s="414" t="s">
        <v>564</v>
      </c>
      <c r="AC68" s="414" t="str">
        <f t="shared" si="1"/>
        <v>UkraineTrain - Light rail/Tram</v>
      </c>
      <c r="AD68" s="414">
        <v>2023</v>
      </c>
      <c r="AE68" s="414">
        <v>3.6091831651276413E-2</v>
      </c>
      <c r="AF68" s="414" t="s">
        <v>619</v>
      </c>
      <c r="AG68" s="414" t="s">
        <v>506</v>
      </c>
      <c r="AH68" s="414" t="s">
        <v>621</v>
      </c>
    </row>
    <row r="69" spans="26:34">
      <c r="Z69" s="414" t="s">
        <v>609</v>
      </c>
      <c r="AA69" s="414" t="s">
        <v>457</v>
      </c>
      <c r="AB69" s="414" t="s">
        <v>564</v>
      </c>
      <c r="AC69" s="414" t="str">
        <f t="shared" si="1"/>
        <v>RomaniaTrain - Light rail/Tram</v>
      </c>
      <c r="AD69" s="414">
        <v>2023</v>
      </c>
      <c r="AE69" s="414">
        <v>3.6091831651276413E-2</v>
      </c>
      <c r="AF69" s="414" t="s">
        <v>619</v>
      </c>
      <c r="AG69" s="414" t="s">
        <v>506</v>
      </c>
      <c r="AH69" s="414" t="s">
        <v>621</v>
      </c>
    </row>
    <row r="70" spans="26:34">
      <c r="Z70" s="414" t="s">
        <v>492</v>
      </c>
      <c r="AA70" s="414" t="s">
        <v>457</v>
      </c>
      <c r="AB70" s="414" t="s">
        <v>564</v>
      </c>
      <c r="AC70" s="414" t="str">
        <f t="shared" si="1"/>
        <v>AlbaniaTrain - Light rail/Tram</v>
      </c>
      <c r="AD70" s="414">
        <v>2023</v>
      </c>
      <c r="AE70" s="414">
        <v>3.6091831651276413E-2</v>
      </c>
      <c r="AF70" s="414" t="s">
        <v>619</v>
      </c>
      <c r="AG70" s="414" t="s">
        <v>506</v>
      </c>
      <c r="AH70" s="414" t="s">
        <v>621</v>
      </c>
    </row>
    <row r="71" spans="26:34">
      <c r="Z71" s="414" t="s">
        <v>585</v>
      </c>
      <c r="AA71" s="414" t="s">
        <v>457</v>
      </c>
      <c r="AB71" s="414" t="s">
        <v>564</v>
      </c>
      <c r="AC71" s="414" t="str">
        <f t="shared" si="1"/>
        <v>ItalyTrain - Light rail/Tram</v>
      </c>
      <c r="AD71" s="414">
        <v>2023</v>
      </c>
      <c r="AE71" s="414">
        <v>3.6091831651276413E-2</v>
      </c>
      <c r="AF71" s="414" t="s">
        <v>619</v>
      </c>
      <c r="AG71" s="414" t="s">
        <v>506</v>
      </c>
      <c r="AH71" s="414" t="s">
        <v>621</v>
      </c>
    </row>
    <row r="72" spans="26:34">
      <c r="Z72" s="414" t="s">
        <v>519</v>
      </c>
      <c r="AA72" s="414" t="s">
        <v>457</v>
      </c>
      <c r="AB72" s="414" t="s">
        <v>564</v>
      </c>
      <c r="AC72" s="414" t="str">
        <f t="shared" si="1"/>
        <v>BelarusTrain - Light rail/Tram</v>
      </c>
      <c r="AD72" s="414">
        <v>2023</v>
      </c>
      <c r="AE72" s="414">
        <v>3.6091831651276413E-2</v>
      </c>
      <c r="AF72" s="414" t="s">
        <v>619</v>
      </c>
      <c r="AG72" s="414" t="s">
        <v>506</v>
      </c>
      <c r="AH72" s="414" t="s">
        <v>621</v>
      </c>
    </row>
    <row r="73" spans="26:34">
      <c r="Z73" s="414" t="s">
        <v>583</v>
      </c>
      <c r="AA73" s="414" t="s">
        <v>457</v>
      </c>
      <c r="AB73" s="414" t="s">
        <v>564</v>
      </c>
      <c r="AC73" s="414" t="str">
        <f t="shared" si="1"/>
        <v>IrelandTrain - Light rail/Tram</v>
      </c>
      <c r="AD73" s="414">
        <v>2023</v>
      </c>
      <c r="AE73" s="414">
        <v>3.6091831651276413E-2</v>
      </c>
      <c r="AF73" s="414" t="s">
        <v>619</v>
      </c>
      <c r="AG73" s="414" t="s">
        <v>506</v>
      </c>
      <c r="AH73" s="414" t="s">
        <v>621</v>
      </c>
    </row>
    <row r="74" spans="26:34">
      <c r="Z74" s="414" t="s">
        <v>603</v>
      </c>
      <c r="AA74" s="414" t="s">
        <v>457</v>
      </c>
      <c r="AB74" s="414" t="s">
        <v>564</v>
      </c>
      <c r="AC74" s="414" t="str">
        <f t="shared" si="1"/>
        <v>NetherlandsTrain - Light rail/Tram</v>
      </c>
      <c r="AD74" s="414">
        <v>2024</v>
      </c>
      <c r="AE74" s="414">
        <v>3.0000000000000001E-3</v>
      </c>
      <c r="AF74" s="414" t="s">
        <v>619</v>
      </c>
      <c r="AG74" s="417" t="s">
        <v>604</v>
      </c>
    </row>
    <row r="75" spans="26:34">
      <c r="Z75" s="414" t="s">
        <v>596</v>
      </c>
      <c r="AA75" s="414" t="s">
        <v>457</v>
      </c>
      <c r="AB75" s="414" t="s">
        <v>564</v>
      </c>
      <c r="AC75" s="414" t="str">
        <f t="shared" si="1"/>
        <v>MaltaTrain - Light rail/Tram</v>
      </c>
      <c r="AD75" s="414">
        <v>2023</v>
      </c>
      <c r="AE75" s="414">
        <v>3.6091831651276413E-2</v>
      </c>
      <c r="AF75" s="414" t="s">
        <v>619</v>
      </c>
      <c r="AG75" s="414" t="s">
        <v>506</v>
      </c>
      <c r="AH75" s="414" t="s">
        <v>621</v>
      </c>
    </row>
    <row r="76" spans="26:34">
      <c r="Z76" s="414" t="s">
        <v>565</v>
      </c>
      <c r="AA76" s="414" t="s">
        <v>457</v>
      </c>
      <c r="AB76" s="414" t="s">
        <v>564</v>
      </c>
      <c r="AC76" s="414" t="str">
        <f t="shared" si="1"/>
        <v>GermanyTrain - Light rail/Tram</v>
      </c>
      <c r="AD76" s="414">
        <v>2023</v>
      </c>
      <c r="AE76" s="414">
        <v>3.6091831651276413E-2</v>
      </c>
      <c r="AF76" s="414" t="s">
        <v>619</v>
      </c>
      <c r="AG76" s="414" t="s">
        <v>506</v>
      </c>
      <c r="AH76" s="414" t="s">
        <v>621</v>
      </c>
    </row>
    <row r="77" spans="26:34">
      <c r="Z77" s="414" t="s">
        <v>602</v>
      </c>
      <c r="AA77" s="414" t="s">
        <v>457</v>
      </c>
      <c r="AB77" s="414" t="s">
        <v>564</v>
      </c>
      <c r="AC77" s="414" t="str">
        <f t="shared" si="1"/>
        <v>MontenegroTrain - Light rail/Tram</v>
      </c>
      <c r="AD77" s="414">
        <v>2023</v>
      </c>
      <c r="AE77" s="414">
        <v>3.6091831651276413E-2</v>
      </c>
      <c r="AF77" s="414" t="s">
        <v>619</v>
      </c>
      <c r="AG77" s="414" t="s">
        <v>506</v>
      </c>
      <c r="AH77" s="414" t="s">
        <v>621</v>
      </c>
    </row>
    <row r="78" spans="26:34">
      <c r="Z78" s="414" t="s">
        <v>542</v>
      </c>
      <c r="AA78" s="414" t="s">
        <v>457</v>
      </c>
      <c r="AB78" s="414" t="s">
        <v>564</v>
      </c>
      <c r="AC78" s="414" t="str">
        <f t="shared" si="1"/>
        <v>CzechiaTrain - Light rail/Tram</v>
      </c>
      <c r="AD78" s="414">
        <v>2023</v>
      </c>
      <c r="AE78" s="414">
        <v>3.6091831651276413E-2</v>
      </c>
      <c r="AF78" s="414" t="s">
        <v>619</v>
      </c>
      <c r="AG78" s="414" t="s">
        <v>506</v>
      </c>
      <c r="AH78" s="414" t="s">
        <v>621</v>
      </c>
    </row>
    <row r="79" spans="26:34">
      <c r="Z79" s="414" t="s">
        <v>570</v>
      </c>
      <c r="AA79" s="414" t="s">
        <v>457</v>
      </c>
      <c r="AB79" s="414" t="s">
        <v>564</v>
      </c>
      <c r="AC79" s="414" t="str">
        <f t="shared" si="1"/>
        <v>GreeceTrain - Light rail/Tram</v>
      </c>
      <c r="AD79" s="414">
        <v>2023</v>
      </c>
      <c r="AE79" s="414">
        <v>3.6091831651276413E-2</v>
      </c>
      <c r="AF79" s="414" t="s">
        <v>619</v>
      </c>
      <c r="AG79" s="414" t="s">
        <v>506</v>
      </c>
      <c r="AH79" s="414" t="s">
        <v>621</v>
      </c>
    </row>
    <row r="80" spans="26:34">
      <c r="Z80" s="414" t="s">
        <v>534</v>
      </c>
      <c r="AA80" s="414" t="s">
        <v>457</v>
      </c>
      <c r="AB80" s="414" t="s">
        <v>564</v>
      </c>
      <c r="AC80" s="414" t="str">
        <f t="shared" si="1"/>
        <v>BulgariaTrain - Light rail/Tram</v>
      </c>
      <c r="AD80" s="414">
        <v>2023</v>
      </c>
      <c r="AE80" s="414">
        <v>3.6091831651276413E-2</v>
      </c>
      <c r="AF80" s="414" t="s">
        <v>619</v>
      </c>
      <c r="AG80" s="414" t="s">
        <v>506</v>
      </c>
      <c r="AH80" s="414" t="s">
        <v>621</v>
      </c>
    </row>
    <row r="81" spans="26:34">
      <c r="Z81" s="414" t="s">
        <v>530</v>
      </c>
      <c r="AA81" s="414" t="s">
        <v>457</v>
      </c>
      <c r="AB81" s="414" t="s">
        <v>564</v>
      </c>
      <c r="AC81" s="414" t="str">
        <f t="shared" si="1"/>
        <v>Bosnia and HerzegovinaTrain - Light rail/Tram</v>
      </c>
      <c r="AD81" s="414">
        <v>2023</v>
      </c>
      <c r="AE81" s="414">
        <v>3.6091831651276413E-2</v>
      </c>
      <c r="AF81" s="414" t="s">
        <v>619</v>
      </c>
      <c r="AG81" s="414" t="s">
        <v>506</v>
      </c>
      <c r="AH81" s="414" t="s">
        <v>621</v>
      </c>
    </row>
    <row r="82" spans="26:34">
      <c r="Z82" s="414" t="s">
        <v>605</v>
      </c>
      <c r="AA82" s="414" t="s">
        <v>457</v>
      </c>
      <c r="AB82" s="414" t="s">
        <v>564</v>
      </c>
      <c r="AC82" s="414" t="str">
        <f t="shared" si="1"/>
        <v>North MacedoniaTrain - Light rail/Tram</v>
      </c>
      <c r="AD82" s="414">
        <v>2023</v>
      </c>
      <c r="AE82" s="414">
        <v>3.6091831651276413E-2</v>
      </c>
      <c r="AF82" s="414" t="s">
        <v>619</v>
      </c>
      <c r="AG82" s="414" t="s">
        <v>506</v>
      </c>
      <c r="AH82" s="414" t="s">
        <v>621</v>
      </c>
    </row>
    <row r="83" spans="26:34">
      <c r="Z83" s="414" t="s">
        <v>611</v>
      </c>
      <c r="AA83" s="414" t="s">
        <v>457</v>
      </c>
      <c r="AB83" s="414" t="s">
        <v>564</v>
      </c>
      <c r="AC83" s="414" t="str">
        <f t="shared" si="1"/>
        <v>SerbiaTrain - Light rail/Tram</v>
      </c>
      <c r="AD83" s="414">
        <v>2023</v>
      </c>
      <c r="AE83" s="414">
        <v>3.6091831651276413E-2</v>
      </c>
      <c r="AF83" s="414" t="s">
        <v>619</v>
      </c>
      <c r="AG83" s="414" t="s">
        <v>506</v>
      </c>
      <c r="AH83" s="414" t="s">
        <v>621</v>
      </c>
    </row>
    <row r="84" spans="26:34">
      <c r="Z84" s="414" t="s">
        <v>550</v>
      </c>
      <c r="AA84" s="414" t="s">
        <v>457</v>
      </c>
      <c r="AB84" s="414" t="s">
        <v>564</v>
      </c>
      <c r="AC84" s="414" t="str">
        <f t="shared" si="1"/>
        <v>EstoniaTrain - Light rail/Tram</v>
      </c>
      <c r="AD84" s="414">
        <v>2023</v>
      </c>
      <c r="AE84" s="414">
        <v>3.6091831651276413E-2</v>
      </c>
      <c r="AF84" s="414" t="s">
        <v>619</v>
      </c>
      <c r="AG84" s="414" t="s">
        <v>506</v>
      </c>
      <c r="AH84" s="414" t="s">
        <v>621</v>
      </c>
    </row>
    <row r="85" spans="26:34">
      <c r="Z85" s="414" t="s">
        <v>607</v>
      </c>
      <c r="AA85" s="414" t="s">
        <v>457</v>
      </c>
      <c r="AB85" s="414" t="s">
        <v>564</v>
      </c>
      <c r="AC85" s="414" t="str">
        <f t="shared" si="1"/>
        <v>PolandTrain - Light rail/Tram</v>
      </c>
      <c r="AD85" s="414">
        <v>2023</v>
      </c>
      <c r="AE85" s="414">
        <v>3.6091831651276413E-2</v>
      </c>
      <c r="AF85" s="414" t="s">
        <v>619</v>
      </c>
      <c r="AG85" s="414" t="s">
        <v>506</v>
      </c>
      <c r="AH85" s="414" t="s">
        <v>621</v>
      </c>
    </row>
    <row r="86" spans="26:34">
      <c r="Z86" s="414" t="s">
        <v>598</v>
      </c>
      <c r="AA86" s="414" t="s">
        <v>457</v>
      </c>
      <c r="AB86" s="414" t="s">
        <v>564</v>
      </c>
      <c r="AC86" s="414" t="str">
        <f t="shared" si="1"/>
        <v>MoldovaTrain - Light rail/Tram</v>
      </c>
      <c r="AD86" s="414">
        <v>2023</v>
      </c>
      <c r="AE86" s="414">
        <v>3.6091831651276413E-2</v>
      </c>
      <c r="AF86" s="414" t="s">
        <v>619</v>
      </c>
      <c r="AG86" s="414" t="s">
        <v>506</v>
      </c>
      <c r="AH86" s="414" t="s">
        <v>621</v>
      </c>
    </row>
    <row r="87" spans="26:34">
      <c r="Z87" s="414" t="s">
        <v>579</v>
      </c>
      <c r="AA87" s="414" t="s">
        <v>457</v>
      </c>
      <c r="AB87" s="414" t="s">
        <v>593</v>
      </c>
      <c r="AC87" s="414" t="str">
        <f t="shared" si="1"/>
        <v>IcelandTrain - Underground/Metro</v>
      </c>
      <c r="AD87" s="414">
        <v>2023</v>
      </c>
      <c r="AE87" s="414" t="s">
        <v>622</v>
      </c>
      <c r="AF87" s="414" t="s">
        <v>622</v>
      </c>
      <c r="AG87" s="414" t="s">
        <v>622</v>
      </c>
      <c r="AH87" s="414" t="s">
        <v>622</v>
      </c>
    </row>
    <row r="88" spans="26:34">
      <c r="Z88" s="414" t="s">
        <v>615</v>
      </c>
      <c r="AA88" s="414" t="s">
        <v>457</v>
      </c>
      <c r="AB88" s="414" t="s">
        <v>593</v>
      </c>
      <c r="AC88" s="414" t="str">
        <f t="shared" si="1"/>
        <v>SwedenTrain - Underground/Metro</v>
      </c>
      <c r="AD88" s="414">
        <v>2023</v>
      </c>
      <c r="AE88" s="414">
        <v>3.5079544597208176E-2</v>
      </c>
      <c r="AF88" s="414" t="s">
        <v>619</v>
      </c>
      <c r="AG88" s="414" t="s">
        <v>506</v>
      </c>
      <c r="AH88" s="414" t="s">
        <v>623</v>
      </c>
    </row>
    <row r="89" spans="26:34">
      <c r="Z89" s="414" t="s">
        <v>606</v>
      </c>
      <c r="AA89" s="414" t="s">
        <v>457</v>
      </c>
      <c r="AB89" s="414" t="s">
        <v>593</v>
      </c>
      <c r="AC89" s="414" t="str">
        <f t="shared" si="1"/>
        <v>NorwayTrain - Underground/Metro</v>
      </c>
      <c r="AD89" s="414">
        <v>2023</v>
      </c>
      <c r="AE89" s="414">
        <v>3.5079544597208176E-2</v>
      </c>
      <c r="AF89" s="414" t="s">
        <v>619</v>
      </c>
      <c r="AG89" s="414" t="s">
        <v>506</v>
      </c>
      <c r="AH89" s="414" t="s">
        <v>623</v>
      </c>
    </row>
    <row r="90" spans="26:34">
      <c r="Z90" s="414" t="s">
        <v>616</v>
      </c>
      <c r="AA90" s="414" t="s">
        <v>457</v>
      </c>
      <c r="AB90" s="414" t="s">
        <v>593</v>
      </c>
      <c r="AC90" s="414" t="str">
        <f t="shared" si="1"/>
        <v>SwitzerlandTrain - Underground/Metro</v>
      </c>
      <c r="AD90" s="414">
        <v>2023</v>
      </c>
      <c r="AE90" s="414">
        <v>3.5079544597208176E-2</v>
      </c>
      <c r="AF90" s="414" t="s">
        <v>619</v>
      </c>
      <c r="AG90" s="414" t="s">
        <v>506</v>
      </c>
      <c r="AH90" s="414" t="s">
        <v>623</v>
      </c>
    </row>
    <row r="91" spans="26:34">
      <c r="Z91" s="414" t="s">
        <v>589</v>
      </c>
      <c r="AA91" s="414" t="s">
        <v>457</v>
      </c>
      <c r="AB91" s="414" t="s">
        <v>593</v>
      </c>
      <c r="AC91" s="414" t="str">
        <f t="shared" si="1"/>
        <v>LiechtensteinTrain - Underground/Metro</v>
      </c>
      <c r="AD91" s="414">
        <v>2023</v>
      </c>
      <c r="AE91" s="414" t="s">
        <v>622</v>
      </c>
      <c r="AF91" s="414" t="s">
        <v>622</v>
      </c>
      <c r="AG91" s="414" t="s">
        <v>622</v>
      </c>
      <c r="AH91" s="414" t="s">
        <v>622</v>
      </c>
    </row>
    <row r="92" spans="26:34">
      <c r="Z92" s="414" t="s">
        <v>594</v>
      </c>
      <c r="AA92" s="414" t="s">
        <v>457</v>
      </c>
      <c r="AB92" s="414" t="s">
        <v>593</v>
      </c>
      <c r="AC92" s="414" t="str">
        <f t="shared" si="1"/>
        <v>LuxembourgTrain - Underground/Metro</v>
      </c>
      <c r="AD92" s="414">
        <v>2023</v>
      </c>
      <c r="AE92" s="414" t="s">
        <v>622</v>
      </c>
      <c r="AF92" s="414" t="s">
        <v>622</v>
      </c>
      <c r="AG92" s="414" t="s">
        <v>622</v>
      </c>
      <c r="AH92" s="414" t="s">
        <v>622</v>
      </c>
    </row>
    <row r="93" spans="26:34">
      <c r="Z93" s="414" t="s">
        <v>555</v>
      </c>
      <c r="AA93" s="414" t="s">
        <v>457</v>
      </c>
      <c r="AB93" s="414" t="s">
        <v>593</v>
      </c>
      <c r="AC93" s="414" t="str">
        <f t="shared" si="1"/>
        <v>FinlandTrain - Underground/Metro</v>
      </c>
      <c r="AD93" s="414">
        <v>2023</v>
      </c>
      <c r="AE93" s="414">
        <v>3.5079544597208176E-2</v>
      </c>
      <c r="AF93" s="414" t="s">
        <v>619</v>
      </c>
      <c r="AG93" s="414" t="s">
        <v>506</v>
      </c>
      <c r="AH93" s="414" t="s">
        <v>623</v>
      </c>
    </row>
    <row r="94" spans="26:34">
      <c r="Z94" s="414" t="s">
        <v>560</v>
      </c>
      <c r="AA94" s="414" t="s">
        <v>457</v>
      </c>
      <c r="AB94" s="414" t="s">
        <v>593</v>
      </c>
      <c r="AC94" s="414" t="str">
        <f t="shared" si="1"/>
        <v>FranceTrain - Underground/Metro</v>
      </c>
      <c r="AD94" s="414">
        <v>2021</v>
      </c>
      <c r="AE94" s="414">
        <v>3.29E-3</v>
      </c>
      <c r="AF94" s="414" t="s">
        <v>494</v>
      </c>
      <c r="AG94" s="414" t="s">
        <v>495</v>
      </c>
    </row>
    <row r="95" spans="26:34">
      <c r="Z95" s="414" t="s">
        <v>600</v>
      </c>
      <c r="AA95" s="414" t="s">
        <v>457</v>
      </c>
      <c r="AB95" s="414" t="s">
        <v>593</v>
      </c>
      <c r="AC95" s="414" t="str">
        <f t="shared" si="1"/>
        <v>MonacoTrain - Underground/Metro</v>
      </c>
      <c r="AD95" s="414">
        <v>2023</v>
      </c>
      <c r="AE95" s="414" t="s">
        <v>622</v>
      </c>
      <c r="AF95" s="414" t="s">
        <v>622</v>
      </c>
      <c r="AG95" s="414" t="s">
        <v>622</v>
      </c>
      <c r="AH95" s="414" t="s">
        <v>622</v>
      </c>
    </row>
    <row r="96" spans="26:34">
      <c r="Z96" s="414" t="s">
        <v>504</v>
      </c>
      <c r="AA96" s="414" t="s">
        <v>457</v>
      </c>
      <c r="AB96" s="414" t="s">
        <v>593</v>
      </c>
      <c r="AC96" s="414" t="str">
        <f t="shared" si="1"/>
        <v>AndorraTrain - Underground/Metro</v>
      </c>
      <c r="AD96" s="414">
        <v>2023</v>
      </c>
      <c r="AE96" s="414" t="s">
        <v>622</v>
      </c>
      <c r="AF96" s="414" t="s">
        <v>622</v>
      </c>
      <c r="AG96" s="414" t="s">
        <v>622</v>
      </c>
      <c r="AH96" s="414" t="s">
        <v>622</v>
      </c>
    </row>
    <row r="97" spans="26:34">
      <c r="Z97" s="414" t="s">
        <v>587</v>
      </c>
      <c r="AA97" s="414" t="s">
        <v>457</v>
      </c>
      <c r="AB97" s="414" t="s">
        <v>593</v>
      </c>
      <c r="AC97" s="414" t="str">
        <f t="shared" si="1"/>
        <v>LatviaTrain - Underground/Metro</v>
      </c>
      <c r="AD97" s="414">
        <v>2023</v>
      </c>
      <c r="AE97" s="414" t="s">
        <v>622</v>
      </c>
      <c r="AF97" s="414" t="s">
        <v>622</v>
      </c>
      <c r="AG97" s="414" t="s">
        <v>622</v>
      </c>
      <c r="AH97" s="414" t="s">
        <v>622</v>
      </c>
    </row>
    <row r="98" spans="26:34">
      <c r="Z98" s="414" t="s">
        <v>513</v>
      </c>
      <c r="AA98" s="414" t="s">
        <v>457</v>
      </c>
      <c r="AB98" s="414" t="s">
        <v>593</v>
      </c>
      <c r="AC98" s="414" t="str">
        <f t="shared" si="1"/>
        <v>AustriaTrain - Underground/Metro</v>
      </c>
      <c r="AD98" s="414">
        <v>2023</v>
      </c>
      <c r="AE98" s="414">
        <v>3.5079544597208176E-2</v>
      </c>
      <c r="AF98" s="414" t="s">
        <v>619</v>
      </c>
      <c r="AG98" s="414" t="s">
        <v>506</v>
      </c>
      <c r="AH98" s="414" t="s">
        <v>623</v>
      </c>
    </row>
    <row r="99" spans="26:34">
      <c r="Z99" s="414" t="s">
        <v>545</v>
      </c>
      <c r="AA99" s="414" t="s">
        <v>457</v>
      </c>
      <c r="AB99" s="414" t="s">
        <v>593</v>
      </c>
      <c r="AC99" s="414" t="str">
        <f t="shared" si="1"/>
        <v>DenmarkTrain - Underground/Metro</v>
      </c>
      <c r="AD99" s="414">
        <v>2023</v>
      </c>
      <c r="AE99" s="414">
        <v>3.5079544597208176E-2</v>
      </c>
      <c r="AF99" s="414" t="s">
        <v>619</v>
      </c>
      <c r="AG99" s="414" t="s">
        <v>506</v>
      </c>
      <c r="AH99" s="414" t="s">
        <v>623</v>
      </c>
    </row>
    <row r="100" spans="26:34">
      <c r="Z100" s="414" t="s">
        <v>612</v>
      </c>
      <c r="AA100" s="414" t="s">
        <v>457</v>
      </c>
      <c r="AB100" s="414" t="s">
        <v>593</v>
      </c>
      <c r="AC100" s="414" t="str">
        <f t="shared" si="1"/>
        <v>SlovakiaTrain - Underground/Metro</v>
      </c>
      <c r="AD100" s="414">
        <v>2023</v>
      </c>
      <c r="AE100" s="414" t="s">
        <v>622</v>
      </c>
      <c r="AF100" s="414" t="s">
        <v>622</v>
      </c>
      <c r="AG100" s="414" t="s">
        <v>622</v>
      </c>
      <c r="AH100" s="414" t="s">
        <v>622</v>
      </c>
    </row>
    <row r="101" spans="26:34">
      <c r="Z101" s="414" t="s">
        <v>538</v>
      </c>
      <c r="AA101" s="414" t="s">
        <v>457</v>
      </c>
      <c r="AB101" s="414" t="s">
        <v>593</v>
      </c>
      <c r="AC101" s="414" t="str">
        <f t="shared" si="1"/>
        <v>CroatiaTrain - Underground/Metro</v>
      </c>
      <c r="AD101" s="414">
        <v>2023</v>
      </c>
      <c r="AE101" s="414" t="s">
        <v>622</v>
      </c>
      <c r="AF101" s="414" t="s">
        <v>622</v>
      </c>
      <c r="AG101" s="414" t="s">
        <v>622</v>
      </c>
      <c r="AH101" s="414" t="s">
        <v>622</v>
      </c>
    </row>
    <row r="102" spans="26:34">
      <c r="Z102" s="414" t="s">
        <v>525</v>
      </c>
      <c r="AA102" s="414" t="s">
        <v>457</v>
      </c>
      <c r="AB102" s="414" t="s">
        <v>593</v>
      </c>
      <c r="AC102" s="414" t="str">
        <f t="shared" si="1"/>
        <v>BelgiumTrain - Underground/Metro</v>
      </c>
      <c r="AD102" s="414">
        <v>2023</v>
      </c>
      <c r="AE102" s="414">
        <v>3.0000000000000001E-3</v>
      </c>
      <c r="AF102" s="414" t="s">
        <v>619</v>
      </c>
      <c r="AG102" s="414" t="s">
        <v>526</v>
      </c>
    </row>
    <row r="103" spans="26:34">
      <c r="Z103" s="414" t="s">
        <v>608</v>
      </c>
      <c r="AA103" s="414" t="s">
        <v>457</v>
      </c>
      <c r="AB103" s="414" t="s">
        <v>593</v>
      </c>
      <c r="AC103" s="414" t="str">
        <f t="shared" si="1"/>
        <v>PortugalTrain - Underground/Metro</v>
      </c>
      <c r="AD103" s="414">
        <v>2023</v>
      </c>
      <c r="AE103" s="414">
        <v>3.5079544597208176E-2</v>
      </c>
      <c r="AF103" s="414" t="s">
        <v>619</v>
      </c>
      <c r="AG103" s="414" t="s">
        <v>506</v>
      </c>
      <c r="AH103" s="414" t="s">
        <v>623</v>
      </c>
    </row>
    <row r="104" spans="26:34">
      <c r="Z104" s="414" t="s">
        <v>575</v>
      </c>
      <c r="AA104" s="414" t="s">
        <v>457</v>
      </c>
      <c r="AB104" s="414" t="s">
        <v>593</v>
      </c>
      <c r="AC104" s="414" t="str">
        <f t="shared" si="1"/>
        <v>HungaryTrain - Underground/Metro</v>
      </c>
      <c r="AD104" s="414">
        <v>2023</v>
      </c>
      <c r="AE104" s="414">
        <v>3.5079544597208176E-2</v>
      </c>
      <c r="AF104" s="414" t="s">
        <v>619</v>
      </c>
      <c r="AG104" s="414" t="s">
        <v>506</v>
      </c>
      <c r="AH104" s="414" t="s">
        <v>623</v>
      </c>
    </row>
    <row r="105" spans="26:34">
      <c r="Z105" s="414" t="s">
        <v>591</v>
      </c>
      <c r="AA105" s="414" t="s">
        <v>457</v>
      </c>
      <c r="AB105" s="414" t="s">
        <v>593</v>
      </c>
      <c r="AC105" s="414" t="str">
        <f t="shared" si="1"/>
        <v>LithuaniaTrain - Underground/Metro</v>
      </c>
      <c r="AD105" s="414">
        <v>2023</v>
      </c>
      <c r="AE105" s="414" t="s">
        <v>622</v>
      </c>
      <c r="AF105" s="414" t="s">
        <v>622</v>
      </c>
      <c r="AG105" s="414" t="s">
        <v>622</v>
      </c>
      <c r="AH105" s="414" t="s">
        <v>622</v>
      </c>
    </row>
    <row r="106" spans="26:34">
      <c r="Z106" s="414" t="s">
        <v>614</v>
      </c>
      <c r="AA106" s="414" t="s">
        <v>457</v>
      </c>
      <c r="AB106" s="414" t="s">
        <v>593</v>
      </c>
      <c r="AC106" s="414" t="str">
        <f t="shared" si="1"/>
        <v>SpainTrain - Underground/Metro</v>
      </c>
      <c r="AD106" s="414">
        <v>2023</v>
      </c>
      <c r="AE106" s="414">
        <v>3.5079544597208176E-2</v>
      </c>
      <c r="AF106" s="414" t="s">
        <v>619</v>
      </c>
      <c r="AG106" s="414" t="s">
        <v>506</v>
      </c>
      <c r="AH106" s="414" t="s">
        <v>623</v>
      </c>
    </row>
    <row r="107" spans="26:34">
      <c r="Z107" s="414" t="s">
        <v>613</v>
      </c>
      <c r="AA107" s="414" t="s">
        <v>457</v>
      </c>
      <c r="AB107" s="414" t="s">
        <v>593</v>
      </c>
      <c r="AC107" s="414" t="str">
        <f t="shared" si="1"/>
        <v>SloveniaTrain - Underground/Metro</v>
      </c>
      <c r="AD107" s="414">
        <v>2023</v>
      </c>
      <c r="AE107" s="414" t="s">
        <v>622</v>
      </c>
      <c r="AF107" s="414" t="s">
        <v>622</v>
      </c>
      <c r="AG107" s="414" t="s">
        <v>622</v>
      </c>
      <c r="AH107" s="414" t="s">
        <v>622</v>
      </c>
    </row>
    <row r="108" spans="26:34">
      <c r="Z108" s="414" t="s">
        <v>610</v>
      </c>
      <c r="AA108" s="414" t="s">
        <v>457</v>
      </c>
      <c r="AB108" s="414" t="s">
        <v>593</v>
      </c>
      <c r="AC108" s="414" t="str">
        <f t="shared" si="1"/>
        <v>San MarinoTrain - Underground/Metro</v>
      </c>
      <c r="AD108" s="414">
        <v>2023</v>
      </c>
      <c r="AE108" s="414" t="s">
        <v>622</v>
      </c>
      <c r="AF108" s="414" t="s">
        <v>622</v>
      </c>
      <c r="AG108" s="414" t="s">
        <v>622</v>
      </c>
      <c r="AH108" s="414" t="s">
        <v>622</v>
      </c>
    </row>
    <row r="109" spans="26:34">
      <c r="Z109" s="414" t="s">
        <v>618</v>
      </c>
      <c r="AA109" s="414" t="s">
        <v>457</v>
      </c>
      <c r="AB109" s="414" t="s">
        <v>593</v>
      </c>
      <c r="AC109" s="414" t="str">
        <f t="shared" si="1"/>
        <v>United KingdomTrain - Underground/Metro</v>
      </c>
      <c r="AD109" s="414">
        <v>2023</v>
      </c>
      <c r="AE109" s="414">
        <v>3.5079544597208176E-2</v>
      </c>
      <c r="AF109" s="414" t="s">
        <v>619</v>
      </c>
      <c r="AG109" s="414" t="s">
        <v>506</v>
      </c>
      <c r="AH109" s="414" t="s">
        <v>623</v>
      </c>
    </row>
    <row r="110" spans="26:34">
      <c r="Z110" s="414" t="s">
        <v>617</v>
      </c>
      <c r="AA110" s="414" t="s">
        <v>457</v>
      </c>
      <c r="AB110" s="414" t="s">
        <v>593</v>
      </c>
      <c r="AC110" s="414" t="str">
        <f t="shared" si="1"/>
        <v>UkraineTrain - Underground/Metro</v>
      </c>
      <c r="AD110" s="414">
        <v>2023</v>
      </c>
      <c r="AE110" s="414">
        <v>3.5079544597208176E-2</v>
      </c>
      <c r="AF110" s="414" t="s">
        <v>619</v>
      </c>
      <c r="AG110" s="414" t="s">
        <v>506</v>
      </c>
      <c r="AH110" s="414" t="s">
        <v>623</v>
      </c>
    </row>
    <row r="111" spans="26:34">
      <c r="Z111" s="414" t="s">
        <v>609</v>
      </c>
      <c r="AA111" s="414" t="s">
        <v>457</v>
      </c>
      <c r="AB111" s="414" t="s">
        <v>593</v>
      </c>
      <c r="AC111" s="414" t="str">
        <f t="shared" si="1"/>
        <v>RomaniaTrain - Underground/Metro</v>
      </c>
      <c r="AD111" s="414">
        <v>2023</v>
      </c>
      <c r="AE111" s="414">
        <v>3.5079544597208176E-2</v>
      </c>
      <c r="AF111" s="414" t="s">
        <v>619</v>
      </c>
      <c r="AG111" s="414" t="s">
        <v>506</v>
      </c>
      <c r="AH111" s="414" t="s">
        <v>623</v>
      </c>
    </row>
    <row r="112" spans="26:34">
      <c r="Z112" s="414" t="s">
        <v>492</v>
      </c>
      <c r="AA112" s="414" t="s">
        <v>457</v>
      </c>
      <c r="AB112" s="414" t="s">
        <v>593</v>
      </c>
      <c r="AC112" s="414" t="str">
        <f t="shared" si="1"/>
        <v>AlbaniaTrain - Underground/Metro</v>
      </c>
      <c r="AD112" s="414">
        <v>2023</v>
      </c>
      <c r="AE112" s="414" t="s">
        <v>622</v>
      </c>
      <c r="AF112" s="414" t="s">
        <v>622</v>
      </c>
      <c r="AG112" s="414" t="s">
        <v>622</v>
      </c>
      <c r="AH112" s="414" t="s">
        <v>622</v>
      </c>
    </row>
    <row r="113" spans="26:34">
      <c r="Z113" s="414" t="s">
        <v>585</v>
      </c>
      <c r="AA113" s="414" t="s">
        <v>457</v>
      </c>
      <c r="AB113" s="414" t="s">
        <v>593</v>
      </c>
      <c r="AC113" s="414" t="str">
        <f t="shared" si="1"/>
        <v>ItalyTrain - Underground/Metro</v>
      </c>
      <c r="AD113" s="414">
        <v>2023</v>
      </c>
      <c r="AE113" s="414">
        <v>3.5079544597208176E-2</v>
      </c>
      <c r="AF113" s="414" t="s">
        <v>619</v>
      </c>
      <c r="AG113" s="414" t="s">
        <v>506</v>
      </c>
      <c r="AH113" s="414" t="s">
        <v>623</v>
      </c>
    </row>
    <row r="114" spans="26:34">
      <c r="Z114" s="414" t="s">
        <v>519</v>
      </c>
      <c r="AA114" s="414" t="s">
        <v>457</v>
      </c>
      <c r="AB114" s="414" t="s">
        <v>593</v>
      </c>
      <c r="AC114" s="414" t="str">
        <f t="shared" si="1"/>
        <v>BelarusTrain - Underground/Metro</v>
      </c>
      <c r="AD114" s="414">
        <v>2023</v>
      </c>
      <c r="AE114" s="414">
        <v>3.5079544597208176E-2</v>
      </c>
      <c r="AF114" s="414" t="s">
        <v>619</v>
      </c>
      <c r="AG114" s="414" t="s">
        <v>506</v>
      </c>
      <c r="AH114" s="414" t="s">
        <v>623</v>
      </c>
    </row>
    <row r="115" spans="26:34">
      <c r="Z115" s="414" t="s">
        <v>583</v>
      </c>
      <c r="AA115" s="414" t="s">
        <v>457</v>
      </c>
      <c r="AB115" s="414" t="s">
        <v>593</v>
      </c>
      <c r="AC115" s="414" t="str">
        <f t="shared" si="1"/>
        <v>IrelandTrain - Underground/Metro</v>
      </c>
      <c r="AD115" s="414">
        <v>2023</v>
      </c>
      <c r="AE115" s="414" t="s">
        <v>622</v>
      </c>
      <c r="AF115" s="414" t="s">
        <v>622</v>
      </c>
      <c r="AG115" s="414" t="s">
        <v>622</v>
      </c>
      <c r="AH115" s="414" t="s">
        <v>622</v>
      </c>
    </row>
    <row r="116" spans="26:34">
      <c r="Z116" s="414" t="s">
        <v>603</v>
      </c>
      <c r="AA116" s="414" t="s">
        <v>457</v>
      </c>
      <c r="AB116" s="414" t="s">
        <v>593</v>
      </c>
      <c r="AC116" s="414" t="str">
        <f t="shared" si="1"/>
        <v>NetherlandsTrain - Underground/Metro</v>
      </c>
      <c r="AD116" s="414">
        <v>2024</v>
      </c>
      <c r="AE116" s="414">
        <v>3.0000000000000001E-3</v>
      </c>
      <c r="AF116" s="414" t="s">
        <v>619</v>
      </c>
      <c r="AG116" s="414" t="s">
        <v>604</v>
      </c>
    </row>
    <row r="117" spans="26:34">
      <c r="Z117" s="414" t="s">
        <v>596</v>
      </c>
      <c r="AA117" s="414" t="s">
        <v>457</v>
      </c>
      <c r="AB117" s="414" t="s">
        <v>593</v>
      </c>
      <c r="AC117" s="414" t="str">
        <f t="shared" si="1"/>
        <v>MaltaTrain - Underground/Metro</v>
      </c>
      <c r="AD117" s="414">
        <v>2023</v>
      </c>
      <c r="AE117" s="414" t="s">
        <v>622</v>
      </c>
      <c r="AF117" s="414" t="s">
        <v>622</v>
      </c>
      <c r="AG117" s="414" t="s">
        <v>622</v>
      </c>
      <c r="AH117" s="414" t="s">
        <v>622</v>
      </c>
    </row>
    <row r="118" spans="26:34">
      <c r="Z118" s="414" t="s">
        <v>565</v>
      </c>
      <c r="AA118" s="414" t="s">
        <v>457</v>
      </c>
      <c r="AB118" s="414" t="s">
        <v>593</v>
      </c>
      <c r="AC118" s="414" t="str">
        <f t="shared" si="1"/>
        <v>GermanyTrain - Underground/Metro</v>
      </c>
      <c r="AD118" s="414">
        <v>2023</v>
      </c>
      <c r="AE118" s="414">
        <v>3.5079544597208176E-2</v>
      </c>
      <c r="AF118" s="414" t="s">
        <v>619</v>
      </c>
      <c r="AG118" s="414" t="s">
        <v>506</v>
      </c>
      <c r="AH118" s="414" t="s">
        <v>623</v>
      </c>
    </row>
    <row r="119" spans="26:34">
      <c r="Z119" s="414" t="s">
        <v>602</v>
      </c>
      <c r="AA119" s="414" t="s">
        <v>457</v>
      </c>
      <c r="AB119" s="414" t="s">
        <v>593</v>
      </c>
      <c r="AC119" s="414" t="str">
        <f t="shared" si="1"/>
        <v>MontenegroTrain - Underground/Metro</v>
      </c>
      <c r="AD119" s="414">
        <v>2023</v>
      </c>
      <c r="AE119" s="414" t="s">
        <v>622</v>
      </c>
      <c r="AF119" s="414" t="s">
        <v>622</v>
      </c>
      <c r="AG119" s="414" t="s">
        <v>622</v>
      </c>
      <c r="AH119" s="414" t="s">
        <v>622</v>
      </c>
    </row>
    <row r="120" spans="26:34">
      <c r="Z120" s="414" t="s">
        <v>542</v>
      </c>
      <c r="AA120" s="414" t="s">
        <v>457</v>
      </c>
      <c r="AB120" s="414" t="s">
        <v>593</v>
      </c>
      <c r="AC120" s="414" t="str">
        <f t="shared" si="1"/>
        <v>CzechiaTrain - Underground/Metro</v>
      </c>
      <c r="AD120" s="414">
        <v>2023</v>
      </c>
      <c r="AE120" s="414">
        <v>3.5079544597208176E-2</v>
      </c>
      <c r="AF120" s="414" t="s">
        <v>619</v>
      </c>
      <c r="AG120" s="414" t="s">
        <v>506</v>
      </c>
      <c r="AH120" s="414" t="s">
        <v>623</v>
      </c>
    </row>
    <row r="121" spans="26:34">
      <c r="Z121" s="414" t="s">
        <v>570</v>
      </c>
      <c r="AA121" s="414" t="s">
        <v>457</v>
      </c>
      <c r="AB121" s="414" t="s">
        <v>593</v>
      </c>
      <c r="AC121" s="414" t="str">
        <f t="shared" si="1"/>
        <v>GreeceTrain - Underground/Metro</v>
      </c>
      <c r="AD121" s="414">
        <v>2023</v>
      </c>
      <c r="AE121" s="414">
        <v>3.5079544597208176E-2</v>
      </c>
      <c r="AF121" s="414" t="s">
        <v>619</v>
      </c>
      <c r="AG121" s="414" t="s">
        <v>506</v>
      </c>
      <c r="AH121" s="414" t="s">
        <v>623</v>
      </c>
    </row>
    <row r="122" spans="26:34">
      <c r="Z122" s="414" t="s">
        <v>534</v>
      </c>
      <c r="AA122" s="414" t="s">
        <v>457</v>
      </c>
      <c r="AB122" s="414" t="s">
        <v>593</v>
      </c>
      <c r="AC122" s="414" t="str">
        <f t="shared" si="1"/>
        <v>BulgariaTrain - Underground/Metro</v>
      </c>
      <c r="AD122" s="414">
        <v>2023</v>
      </c>
      <c r="AE122" s="414">
        <v>3.5079544597208176E-2</v>
      </c>
      <c r="AF122" s="414" t="s">
        <v>619</v>
      </c>
      <c r="AG122" s="414" t="s">
        <v>506</v>
      </c>
      <c r="AH122" s="414" t="s">
        <v>623</v>
      </c>
    </row>
    <row r="123" spans="26:34">
      <c r="Z123" s="414" t="s">
        <v>530</v>
      </c>
      <c r="AA123" s="414" t="s">
        <v>457</v>
      </c>
      <c r="AB123" s="414" t="s">
        <v>593</v>
      </c>
      <c r="AC123" s="414" t="str">
        <f t="shared" si="1"/>
        <v>Bosnia and HerzegovinaTrain - Underground/Metro</v>
      </c>
      <c r="AD123" s="414">
        <v>2023</v>
      </c>
      <c r="AE123" s="414" t="s">
        <v>622</v>
      </c>
      <c r="AF123" s="414" t="s">
        <v>622</v>
      </c>
      <c r="AG123" s="414" t="s">
        <v>622</v>
      </c>
      <c r="AH123" s="414" t="s">
        <v>622</v>
      </c>
    </row>
    <row r="124" spans="26:34">
      <c r="Z124" s="414" t="s">
        <v>605</v>
      </c>
      <c r="AA124" s="414" t="s">
        <v>457</v>
      </c>
      <c r="AB124" s="414" t="s">
        <v>593</v>
      </c>
      <c r="AC124" s="414" t="str">
        <f t="shared" si="1"/>
        <v>North MacedoniaTrain - Underground/Metro</v>
      </c>
      <c r="AD124" s="414">
        <v>2023</v>
      </c>
      <c r="AE124" s="414" t="s">
        <v>622</v>
      </c>
      <c r="AF124" s="414" t="s">
        <v>622</v>
      </c>
      <c r="AG124" s="414" t="s">
        <v>622</v>
      </c>
      <c r="AH124" s="414" t="s">
        <v>622</v>
      </c>
    </row>
    <row r="125" spans="26:34">
      <c r="Z125" s="414" t="s">
        <v>611</v>
      </c>
      <c r="AA125" s="414" t="s">
        <v>457</v>
      </c>
      <c r="AB125" s="414" t="s">
        <v>593</v>
      </c>
      <c r="AC125" s="414" t="str">
        <f t="shared" si="1"/>
        <v>SerbiaTrain - Underground/Metro</v>
      </c>
      <c r="AD125" s="414">
        <v>2023</v>
      </c>
      <c r="AE125" s="414" t="s">
        <v>622</v>
      </c>
      <c r="AF125" s="414" t="s">
        <v>622</v>
      </c>
      <c r="AG125" s="414" t="s">
        <v>622</v>
      </c>
      <c r="AH125" s="414" t="s">
        <v>622</v>
      </c>
    </row>
    <row r="126" spans="26:34">
      <c r="Z126" s="414" t="s">
        <v>550</v>
      </c>
      <c r="AA126" s="414" t="s">
        <v>457</v>
      </c>
      <c r="AB126" s="414" t="s">
        <v>593</v>
      </c>
      <c r="AC126" s="414" t="str">
        <f t="shared" si="1"/>
        <v>EstoniaTrain - Underground/Metro</v>
      </c>
      <c r="AD126" s="414">
        <v>2023</v>
      </c>
      <c r="AE126" s="414" t="s">
        <v>622</v>
      </c>
      <c r="AF126" s="414" t="s">
        <v>622</v>
      </c>
      <c r="AG126" s="414" t="s">
        <v>622</v>
      </c>
      <c r="AH126" s="414" t="s">
        <v>622</v>
      </c>
    </row>
    <row r="127" spans="26:34">
      <c r="Z127" s="414" t="s">
        <v>607</v>
      </c>
      <c r="AA127" s="414" t="s">
        <v>457</v>
      </c>
      <c r="AB127" s="414" t="s">
        <v>593</v>
      </c>
      <c r="AC127" s="414" t="str">
        <f t="shared" si="1"/>
        <v>PolandTrain - Underground/Metro</v>
      </c>
      <c r="AD127" s="414">
        <v>2023</v>
      </c>
      <c r="AE127" s="414">
        <v>3.5079544597208176E-2</v>
      </c>
      <c r="AF127" s="414" t="s">
        <v>619</v>
      </c>
      <c r="AG127" s="414" t="s">
        <v>506</v>
      </c>
      <c r="AH127" s="414" t="s">
        <v>623</v>
      </c>
    </row>
    <row r="128" spans="26:34">
      <c r="Z128" s="414" t="s">
        <v>598</v>
      </c>
      <c r="AA128" s="414" t="s">
        <v>457</v>
      </c>
      <c r="AB128" s="414" t="s">
        <v>593</v>
      </c>
      <c r="AC128" s="414" t="str">
        <f t="shared" si="1"/>
        <v>MoldovaTrain - Underground/Metro</v>
      </c>
      <c r="AD128" s="414">
        <v>2023</v>
      </c>
      <c r="AE128" s="414" t="s">
        <v>622</v>
      </c>
      <c r="AF128" s="414" t="s">
        <v>622</v>
      </c>
      <c r="AG128" s="414" t="s">
        <v>622</v>
      </c>
      <c r="AH128" s="414" t="s">
        <v>622</v>
      </c>
    </row>
    <row r="129" spans="26:34">
      <c r="Z129" s="414" t="s">
        <v>492</v>
      </c>
      <c r="AA129" s="414" t="s">
        <v>452</v>
      </c>
      <c r="AB129" s="414" t="s">
        <v>549</v>
      </c>
      <c r="AC129" s="414" t="str">
        <f t="shared" si="1"/>
        <v>AlbaniaPlane - Short-haul - Economy</v>
      </c>
      <c r="AD129" s="414">
        <v>2023</v>
      </c>
      <c r="AE129" s="414">
        <v>0.20535935436241612</v>
      </c>
      <c r="AF129" s="414" t="s">
        <v>619</v>
      </c>
      <c r="AG129" s="414" t="s">
        <v>506</v>
      </c>
      <c r="AH129" s="414" t="s">
        <v>623</v>
      </c>
    </row>
    <row r="130" spans="26:34">
      <c r="Z130" s="414" t="s">
        <v>492</v>
      </c>
      <c r="AA130" s="414" t="s">
        <v>452</v>
      </c>
      <c r="AB130" s="414" t="s">
        <v>554</v>
      </c>
      <c r="AC130" s="414" t="str">
        <f t="shared" si="1"/>
        <v>AlbaniaPlane - Short-haul - Business class</v>
      </c>
      <c r="AD130" s="414">
        <v>2023</v>
      </c>
      <c r="AE130" s="414">
        <v>0.30803287785234901</v>
      </c>
      <c r="AF130" s="414" t="s">
        <v>619</v>
      </c>
      <c r="AG130" s="414" t="s">
        <v>506</v>
      </c>
      <c r="AH130" s="414" t="s">
        <v>623</v>
      </c>
    </row>
    <row r="131" spans="26:34">
      <c r="Z131" s="414" t="s">
        <v>492</v>
      </c>
      <c r="AA131" s="414" t="s">
        <v>452</v>
      </c>
      <c r="AB131" s="414" t="s">
        <v>559</v>
      </c>
      <c r="AC131" s="414" t="str">
        <f t="shared" ref="AC131:AC194" si="2">Z131&amp;AB131</f>
        <v>AlbaniaPlane - Long-haul - Economy</v>
      </c>
      <c r="AD131" s="414">
        <v>2023</v>
      </c>
      <c r="AE131" s="414">
        <v>0.22471828053691276</v>
      </c>
      <c r="AF131" s="414" t="s">
        <v>619</v>
      </c>
      <c r="AG131" s="414" t="s">
        <v>506</v>
      </c>
      <c r="AH131" s="414" t="s">
        <v>623</v>
      </c>
    </row>
    <row r="132" spans="26:34">
      <c r="Z132" s="414" t="s">
        <v>492</v>
      </c>
      <c r="AA132" s="414" t="s">
        <v>452</v>
      </c>
      <c r="AB132" s="414" t="s">
        <v>563</v>
      </c>
      <c r="AC132" s="414" t="str">
        <f t="shared" si="2"/>
        <v>AlbaniaPlane - Long-haul - Premium economy</v>
      </c>
      <c r="AD132" s="414">
        <v>2023</v>
      </c>
      <c r="AE132" s="414">
        <v>0.35952519328859062</v>
      </c>
      <c r="AF132" s="414" t="s">
        <v>619</v>
      </c>
      <c r="AG132" s="414" t="s">
        <v>506</v>
      </c>
      <c r="AH132" s="414" t="s">
        <v>623</v>
      </c>
    </row>
    <row r="133" spans="26:34">
      <c r="Z133" s="414" t="s">
        <v>492</v>
      </c>
      <c r="AA133" s="414" t="s">
        <v>452</v>
      </c>
      <c r="AB133" s="414" t="s">
        <v>568</v>
      </c>
      <c r="AC133" s="414" t="str">
        <f t="shared" si="2"/>
        <v>AlbaniaPlane - Long-haul - Business class</v>
      </c>
      <c r="AD133" s="414">
        <v>2023</v>
      </c>
      <c r="AE133" s="414">
        <v>0.6516569302013423</v>
      </c>
      <c r="AF133" s="414" t="s">
        <v>619</v>
      </c>
      <c r="AG133" s="414" t="s">
        <v>506</v>
      </c>
      <c r="AH133" s="414" t="s">
        <v>623</v>
      </c>
    </row>
    <row r="134" spans="26:34">
      <c r="Z134" s="414" t="s">
        <v>492</v>
      </c>
      <c r="AA134" s="414" t="s">
        <v>452</v>
      </c>
      <c r="AB134" s="414" t="s">
        <v>574</v>
      </c>
      <c r="AC134" s="414" t="str">
        <f t="shared" si="2"/>
        <v>AlbaniaPlane - Long-haul - First class</v>
      </c>
      <c r="AD134" s="414">
        <v>2023</v>
      </c>
      <c r="AE134" s="414">
        <v>0.89884302953020123</v>
      </c>
      <c r="AF134" s="414" t="s">
        <v>619</v>
      </c>
      <c r="AG134" s="414" t="s">
        <v>506</v>
      </c>
      <c r="AH134" s="414" t="s">
        <v>623</v>
      </c>
    </row>
    <row r="135" spans="26:34">
      <c r="Z135" s="414" t="s">
        <v>504</v>
      </c>
      <c r="AA135" s="414" t="s">
        <v>452</v>
      </c>
      <c r="AB135" s="414" t="s">
        <v>549</v>
      </c>
      <c r="AC135" s="414" t="str">
        <f t="shared" si="2"/>
        <v>AndorraPlane - Short-haul - Economy</v>
      </c>
      <c r="AD135" s="414">
        <v>2023</v>
      </c>
      <c r="AE135" s="414">
        <v>0.20535935436241612</v>
      </c>
      <c r="AF135" s="414" t="s">
        <v>619</v>
      </c>
      <c r="AG135" s="414" t="s">
        <v>506</v>
      </c>
      <c r="AH135" s="414" t="s">
        <v>623</v>
      </c>
    </row>
    <row r="136" spans="26:34">
      <c r="Z136" s="414" t="s">
        <v>504</v>
      </c>
      <c r="AA136" s="414" t="s">
        <v>452</v>
      </c>
      <c r="AB136" s="414" t="s">
        <v>554</v>
      </c>
      <c r="AC136" s="414" t="str">
        <f t="shared" si="2"/>
        <v>AndorraPlane - Short-haul - Business class</v>
      </c>
      <c r="AD136" s="414">
        <v>2023</v>
      </c>
      <c r="AE136" s="414">
        <v>0.30803287785234901</v>
      </c>
      <c r="AF136" s="414" t="s">
        <v>619</v>
      </c>
      <c r="AG136" s="414" t="s">
        <v>506</v>
      </c>
      <c r="AH136" s="414" t="s">
        <v>623</v>
      </c>
    </row>
    <row r="137" spans="26:34">
      <c r="Z137" s="414" t="s">
        <v>504</v>
      </c>
      <c r="AA137" s="414" t="s">
        <v>452</v>
      </c>
      <c r="AB137" s="414" t="s">
        <v>559</v>
      </c>
      <c r="AC137" s="414" t="str">
        <f t="shared" si="2"/>
        <v>AndorraPlane - Long-haul - Economy</v>
      </c>
      <c r="AD137" s="414">
        <v>2023</v>
      </c>
      <c r="AE137" s="414">
        <v>0.22471828053691276</v>
      </c>
      <c r="AF137" s="414" t="s">
        <v>619</v>
      </c>
      <c r="AG137" s="414" t="s">
        <v>506</v>
      </c>
      <c r="AH137" s="414" t="s">
        <v>623</v>
      </c>
    </row>
    <row r="138" spans="26:34">
      <c r="Z138" s="414" t="s">
        <v>504</v>
      </c>
      <c r="AA138" s="414" t="s">
        <v>452</v>
      </c>
      <c r="AB138" s="414" t="s">
        <v>563</v>
      </c>
      <c r="AC138" s="414" t="str">
        <f t="shared" si="2"/>
        <v>AndorraPlane - Long-haul - Premium economy</v>
      </c>
      <c r="AD138" s="414">
        <v>2023</v>
      </c>
      <c r="AE138" s="414">
        <v>0.35952519328859062</v>
      </c>
      <c r="AF138" s="414" t="s">
        <v>619</v>
      </c>
      <c r="AG138" s="414" t="s">
        <v>506</v>
      </c>
      <c r="AH138" s="414" t="s">
        <v>623</v>
      </c>
    </row>
    <row r="139" spans="26:34">
      <c r="Z139" s="414" t="s">
        <v>504</v>
      </c>
      <c r="AA139" s="414" t="s">
        <v>452</v>
      </c>
      <c r="AB139" s="414" t="s">
        <v>568</v>
      </c>
      <c r="AC139" s="414" t="str">
        <f t="shared" si="2"/>
        <v>AndorraPlane - Long-haul - Business class</v>
      </c>
      <c r="AD139" s="414">
        <v>2023</v>
      </c>
      <c r="AE139" s="414">
        <v>0.6516569302013423</v>
      </c>
      <c r="AF139" s="414" t="s">
        <v>619</v>
      </c>
      <c r="AG139" s="414" t="s">
        <v>506</v>
      </c>
      <c r="AH139" s="414" t="s">
        <v>623</v>
      </c>
    </row>
    <row r="140" spans="26:34">
      <c r="Z140" s="414" t="s">
        <v>504</v>
      </c>
      <c r="AA140" s="414" t="s">
        <v>452</v>
      </c>
      <c r="AB140" s="414" t="s">
        <v>574</v>
      </c>
      <c r="AC140" s="414" t="str">
        <f t="shared" si="2"/>
        <v>AndorraPlane - Long-haul - First class</v>
      </c>
      <c r="AD140" s="414">
        <v>2023</v>
      </c>
      <c r="AE140" s="414">
        <v>0.89884302953020123</v>
      </c>
      <c r="AF140" s="414" t="s">
        <v>619</v>
      </c>
      <c r="AG140" s="414" t="s">
        <v>506</v>
      </c>
      <c r="AH140" s="414" t="s">
        <v>623</v>
      </c>
    </row>
    <row r="141" spans="26:34">
      <c r="Z141" s="414" t="s">
        <v>513</v>
      </c>
      <c r="AA141" s="414" t="s">
        <v>452</v>
      </c>
      <c r="AB141" s="414" t="s">
        <v>549</v>
      </c>
      <c r="AC141" s="414" t="str">
        <f t="shared" si="2"/>
        <v>AustriaPlane - Short-haul - Economy</v>
      </c>
      <c r="AD141" s="414">
        <v>2023</v>
      </c>
      <c r="AE141" s="414">
        <v>0.20535935436241612</v>
      </c>
      <c r="AF141" s="414" t="s">
        <v>619</v>
      </c>
      <c r="AG141" s="414" t="s">
        <v>506</v>
      </c>
      <c r="AH141" s="414" t="s">
        <v>623</v>
      </c>
    </row>
    <row r="142" spans="26:34">
      <c r="Z142" s="414" t="s">
        <v>513</v>
      </c>
      <c r="AA142" s="414" t="s">
        <v>452</v>
      </c>
      <c r="AB142" s="414" t="s">
        <v>554</v>
      </c>
      <c r="AC142" s="414" t="str">
        <f t="shared" si="2"/>
        <v>AustriaPlane - Short-haul - Business class</v>
      </c>
      <c r="AD142" s="414">
        <v>2023</v>
      </c>
      <c r="AE142" s="414">
        <v>0.30803287785234901</v>
      </c>
      <c r="AF142" s="414" t="s">
        <v>619</v>
      </c>
      <c r="AG142" s="414" t="s">
        <v>506</v>
      </c>
      <c r="AH142" s="414" t="s">
        <v>623</v>
      </c>
    </row>
    <row r="143" spans="26:34">
      <c r="Z143" s="414" t="s">
        <v>513</v>
      </c>
      <c r="AA143" s="414" t="s">
        <v>452</v>
      </c>
      <c r="AB143" s="414" t="s">
        <v>559</v>
      </c>
      <c r="AC143" s="414" t="str">
        <f t="shared" si="2"/>
        <v>AustriaPlane - Long-haul - Economy</v>
      </c>
      <c r="AD143" s="414">
        <v>2023</v>
      </c>
      <c r="AE143" s="414">
        <v>0.22471828053691276</v>
      </c>
      <c r="AF143" s="414" t="s">
        <v>619</v>
      </c>
      <c r="AG143" s="414" t="s">
        <v>506</v>
      </c>
      <c r="AH143" s="414" t="s">
        <v>623</v>
      </c>
    </row>
    <row r="144" spans="26:34">
      <c r="Z144" s="414" t="s">
        <v>513</v>
      </c>
      <c r="AA144" s="414" t="s">
        <v>452</v>
      </c>
      <c r="AB144" s="414" t="s">
        <v>563</v>
      </c>
      <c r="AC144" s="414" t="str">
        <f t="shared" si="2"/>
        <v>AustriaPlane - Long-haul - Premium economy</v>
      </c>
      <c r="AD144" s="414">
        <v>2023</v>
      </c>
      <c r="AE144" s="414">
        <v>0.35952519328859062</v>
      </c>
      <c r="AF144" s="414" t="s">
        <v>619</v>
      </c>
      <c r="AG144" s="414" t="s">
        <v>506</v>
      </c>
      <c r="AH144" s="414" t="s">
        <v>623</v>
      </c>
    </row>
    <row r="145" spans="26:34">
      <c r="Z145" s="414" t="s">
        <v>513</v>
      </c>
      <c r="AA145" s="414" t="s">
        <v>452</v>
      </c>
      <c r="AB145" s="414" t="s">
        <v>568</v>
      </c>
      <c r="AC145" s="414" t="str">
        <f t="shared" si="2"/>
        <v>AustriaPlane - Long-haul - Business class</v>
      </c>
      <c r="AD145" s="414">
        <v>2023</v>
      </c>
      <c r="AE145" s="414">
        <v>0.6516569302013423</v>
      </c>
      <c r="AF145" s="414" t="s">
        <v>619</v>
      </c>
      <c r="AG145" s="414" t="s">
        <v>506</v>
      </c>
      <c r="AH145" s="414" t="s">
        <v>623</v>
      </c>
    </row>
    <row r="146" spans="26:34">
      <c r="Z146" s="414" t="s">
        <v>513</v>
      </c>
      <c r="AA146" s="414" t="s">
        <v>452</v>
      </c>
      <c r="AB146" s="414" t="s">
        <v>574</v>
      </c>
      <c r="AC146" s="414" t="str">
        <f t="shared" si="2"/>
        <v>AustriaPlane - Long-haul - First class</v>
      </c>
      <c r="AD146" s="414">
        <v>2023</v>
      </c>
      <c r="AE146" s="414">
        <v>0.89884302953020123</v>
      </c>
      <c r="AF146" s="414" t="s">
        <v>619</v>
      </c>
      <c r="AG146" s="414" t="s">
        <v>506</v>
      </c>
      <c r="AH146" s="414" t="s">
        <v>623</v>
      </c>
    </row>
    <row r="147" spans="26:34">
      <c r="Z147" s="414" t="s">
        <v>519</v>
      </c>
      <c r="AA147" s="414" t="s">
        <v>452</v>
      </c>
      <c r="AB147" s="414" t="s">
        <v>549</v>
      </c>
      <c r="AC147" s="414" t="str">
        <f t="shared" si="2"/>
        <v>BelarusPlane - Short-haul - Economy</v>
      </c>
      <c r="AD147" s="414">
        <v>2023</v>
      </c>
      <c r="AE147" s="414">
        <v>0.20535935436241612</v>
      </c>
      <c r="AF147" s="414" t="s">
        <v>619</v>
      </c>
      <c r="AG147" s="414" t="s">
        <v>506</v>
      </c>
      <c r="AH147" s="414" t="s">
        <v>623</v>
      </c>
    </row>
    <row r="148" spans="26:34">
      <c r="Z148" s="414" t="s">
        <v>519</v>
      </c>
      <c r="AA148" s="414" t="s">
        <v>452</v>
      </c>
      <c r="AB148" s="414" t="s">
        <v>554</v>
      </c>
      <c r="AC148" s="414" t="str">
        <f t="shared" si="2"/>
        <v>BelarusPlane - Short-haul - Business class</v>
      </c>
      <c r="AD148" s="414">
        <v>2023</v>
      </c>
      <c r="AE148" s="414">
        <v>0.30803287785234901</v>
      </c>
      <c r="AF148" s="414" t="s">
        <v>619</v>
      </c>
      <c r="AG148" s="414" t="s">
        <v>506</v>
      </c>
      <c r="AH148" s="414" t="s">
        <v>623</v>
      </c>
    </row>
    <row r="149" spans="26:34">
      <c r="Z149" s="414" t="s">
        <v>519</v>
      </c>
      <c r="AA149" s="414" t="s">
        <v>452</v>
      </c>
      <c r="AB149" s="414" t="s">
        <v>559</v>
      </c>
      <c r="AC149" s="414" t="str">
        <f t="shared" si="2"/>
        <v>BelarusPlane - Long-haul - Economy</v>
      </c>
      <c r="AD149" s="414">
        <v>2023</v>
      </c>
      <c r="AE149" s="414">
        <v>0.22471828053691276</v>
      </c>
      <c r="AF149" s="414" t="s">
        <v>619</v>
      </c>
      <c r="AG149" s="414" t="s">
        <v>506</v>
      </c>
      <c r="AH149" s="414" t="s">
        <v>623</v>
      </c>
    </row>
    <row r="150" spans="26:34">
      <c r="Z150" s="414" t="s">
        <v>519</v>
      </c>
      <c r="AA150" s="414" t="s">
        <v>452</v>
      </c>
      <c r="AB150" s="414" t="s">
        <v>563</v>
      </c>
      <c r="AC150" s="414" t="str">
        <f t="shared" si="2"/>
        <v>BelarusPlane - Long-haul - Premium economy</v>
      </c>
      <c r="AD150" s="414">
        <v>2023</v>
      </c>
      <c r="AE150" s="414">
        <v>0.35952519328859062</v>
      </c>
      <c r="AF150" s="414" t="s">
        <v>619</v>
      </c>
      <c r="AG150" s="414" t="s">
        <v>506</v>
      </c>
      <c r="AH150" s="414" t="s">
        <v>623</v>
      </c>
    </row>
    <row r="151" spans="26:34">
      <c r="Z151" s="414" t="s">
        <v>519</v>
      </c>
      <c r="AA151" s="414" t="s">
        <v>452</v>
      </c>
      <c r="AB151" s="414" t="s">
        <v>568</v>
      </c>
      <c r="AC151" s="414" t="str">
        <f t="shared" si="2"/>
        <v>BelarusPlane - Long-haul - Business class</v>
      </c>
      <c r="AD151" s="414">
        <v>2023</v>
      </c>
      <c r="AE151" s="414">
        <v>0.6516569302013423</v>
      </c>
      <c r="AF151" s="414" t="s">
        <v>619</v>
      </c>
      <c r="AG151" s="414" t="s">
        <v>506</v>
      </c>
      <c r="AH151" s="414" t="s">
        <v>623</v>
      </c>
    </row>
    <row r="152" spans="26:34">
      <c r="Z152" s="414" t="s">
        <v>519</v>
      </c>
      <c r="AA152" s="414" t="s">
        <v>452</v>
      </c>
      <c r="AB152" s="414" t="s">
        <v>574</v>
      </c>
      <c r="AC152" s="414" t="str">
        <f t="shared" si="2"/>
        <v>BelarusPlane - Long-haul - First class</v>
      </c>
      <c r="AD152" s="414">
        <v>2023</v>
      </c>
      <c r="AE152" s="414">
        <v>0.89884302953020123</v>
      </c>
      <c r="AF152" s="414" t="s">
        <v>619</v>
      </c>
      <c r="AG152" s="414" t="s">
        <v>506</v>
      </c>
      <c r="AH152" s="414" t="s">
        <v>623</v>
      </c>
    </row>
    <row r="153" spans="26:34">
      <c r="Z153" s="414" t="s">
        <v>525</v>
      </c>
      <c r="AA153" s="414" t="s">
        <v>452</v>
      </c>
      <c r="AB153" s="414" t="s">
        <v>549</v>
      </c>
      <c r="AC153" s="414" t="str">
        <f t="shared" si="2"/>
        <v>BelgiumPlane - Short-haul - Economy</v>
      </c>
      <c r="AD153" s="414">
        <v>2023</v>
      </c>
      <c r="AE153" s="414">
        <v>0.20535935436241612</v>
      </c>
      <c r="AF153" s="414" t="s">
        <v>619</v>
      </c>
      <c r="AG153" s="414" t="s">
        <v>506</v>
      </c>
      <c r="AH153" s="414" t="s">
        <v>623</v>
      </c>
    </row>
    <row r="154" spans="26:34">
      <c r="Z154" s="414" t="s">
        <v>525</v>
      </c>
      <c r="AA154" s="414" t="s">
        <v>452</v>
      </c>
      <c r="AB154" s="414" t="s">
        <v>554</v>
      </c>
      <c r="AC154" s="414" t="str">
        <f t="shared" si="2"/>
        <v>BelgiumPlane - Short-haul - Business class</v>
      </c>
      <c r="AD154" s="414">
        <v>2023</v>
      </c>
      <c r="AE154" s="414">
        <v>0.30803287785234901</v>
      </c>
      <c r="AF154" s="414" t="s">
        <v>619</v>
      </c>
      <c r="AG154" s="414" t="s">
        <v>506</v>
      </c>
      <c r="AH154" s="414" t="s">
        <v>623</v>
      </c>
    </row>
    <row r="155" spans="26:34">
      <c r="Z155" s="414" t="s">
        <v>525</v>
      </c>
      <c r="AA155" s="414" t="s">
        <v>452</v>
      </c>
      <c r="AB155" s="414" t="s">
        <v>559</v>
      </c>
      <c r="AC155" s="414" t="str">
        <f t="shared" si="2"/>
        <v>BelgiumPlane - Long-haul - Economy</v>
      </c>
      <c r="AD155" s="414">
        <v>2023</v>
      </c>
      <c r="AE155" s="414">
        <v>0.22471828053691276</v>
      </c>
      <c r="AF155" s="414" t="s">
        <v>619</v>
      </c>
      <c r="AG155" s="414" t="s">
        <v>506</v>
      </c>
      <c r="AH155" s="414" t="s">
        <v>623</v>
      </c>
    </row>
    <row r="156" spans="26:34">
      <c r="Z156" s="414" t="s">
        <v>525</v>
      </c>
      <c r="AA156" s="414" t="s">
        <v>452</v>
      </c>
      <c r="AB156" s="414" t="s">
        <v>563</v>
      </c>
      <c r="AC156" s="414" t="str">
        <f t="shared" si="2"/>
        <v>BelgiumPlane - Long-haul - Premium economy</v>
      </c>
      <c r="AD156" s="414">
        <v>2023</v>
      </c>
      <c r="AE156" s="414">
        <v>0.35952519328859062</v>
      </c>
      <c r="AF156" s="414" t="s">
        <v>619</v>
      </c>
      <c r="AG156" s="414" t="s">
        <v>506</v>
      </c>
      <c r="AH156" s="414" t="s">
        <v>623</v>
      </c>
    </row>
    <row r="157" spans="26:34">
      <c r="Z157" s="414" t="s">
        <v>525</v>
      </c>
      <c r="AA157" s="414" t="s">
        <v>452</v>
      </c>
      <c r="AB157" s="414" t="s">
        <v>568</v>
      </c>
      <c r="AC157" s="414" t="str">
        <f t="shared" si="2"/>
        <v>BelgiumPlane - Long-haul - Business class</v>
      </c>
      <c r="AD157" s="414">
        <v>2023</v>
      </c>
      <c r="AE157" s="414">
        <v>0.6516569302013423</v>
      </c>
      <c r="AF157" s="414" t="s">
        <v>619</v>
      </c>
      <c r="AG157" s="414" t="s">
        <v>506</v>
      </c>
      <c r="AH157" s="414" t="s">
        <v>623</v>
      </c>
    </row>
    <row r="158" spans="26:34">
      <c r="Z158" s="414" t="s">
        <v>525</v>
      </c>
      <c r="AA158" s="414" t="s">
        <v>452</v>
      </c>
      <c r="AB158" s="414" t="s">
        <v>574</v>
      </c>
      <c r="AC158" s="414" t="str">
        <f t="shared" si="2"/>
        <v>BelgiumPlane - Long-haul - First class</v>
      </c>
      <c r="AD158" s="414">
        <v>2023</v>
      </c>
      <c r="AE158" s="414">
        <v>0.89884302953020123</v>
      </c>
      <c r="AF158" s="414" t="s">
        <v>619</v>
      </c>
      <c r="AG158" s="414" t="s">
        <v>506</v>
      </c>
      <c r="AH158" s="414" t="s">
        <v>623</v>
      </c>
    </row>
    <row r="159" spans="26:34">
      <c r="Z159" s="414" t="s">
        <v>530</v>
      </c>
      <c r="AA159" s="414" t="s">
        <v>452</v>
      </c>
      <c r="AB159" s="414" t="s">
        <v>549</v>
      </c>
      <c r="AC159" s="414" t="str">
        <f t="shared" si="2"/>
        <v>Bosnia and HerzegovinaPlane - Short-haul - Economy</v>
      </c>
      <c r="AD159" s="414">
        <v>2023</v>
      </c>
      <c r="AE159" s="414">
        <v>0.20535935436241612</v>
      </c>
      <c r="AF159" s="414" t="s">
        <v>619</v>
      </c>
      <c r="AG159" s="414" t="s">
        <v>506</v>
      </c>
      <c r="AH159" s="414" t="s">
        <v>623</v>
      </c>
    </row>
    <row r="160" spans="26:34">
      <c r="Z160" s="414" t="s">
        <v>530</v>
      </c>
      <c r="AA160" s="414" t="s">
        <v>452</v>
      </c>
      <c r="AB160" s="414" t="s">
        <v>554</v>
      </c>
      <c r="AC160" s="414" t="str">
        <f t="shared" si="2"/>
        <v>Bosnia and HerzegovinaPlane - Short-haul - Business class</v>
      </c>
      <c r="AD160" s="414">
        <v>2023</v>
      </c>
      <c r="AE160" s="414">
        <v>0.30803287785234901</v>
      </c>
      <c r="AF160" s="414" t="s">
        <v>619</v>
      </c>
      <c r="AG160" s="414" t="s">
        <v>506</v>
      </c>
      <c r="AH160" s="414" t="s">
        <v>623</v>
      </c>
    </row>
    <row r="161" spans="26:34">
      <c r="Z161" s="414" t="s">
        <v>530</v>
      </c>
      <c r="AA161" s="414" t="s">
        <v>452</v>
      </c>
      <c r="AB161" s="414" t="s">
        <v>559</v>
      </c>
      <c r="AC161" s="414" t="str">
        <f t="shared" si="2"/>
        <v>Bosnia and HerzegovinaPlane - Long-haul - Economy</v>
      </c>
      <c r="AD161" s="414">
        <v>2023</v>
      </c>
      <c r="AE161" s="414">
        <v>0.22471828053691276</v>
      </c>
      <c r="AF161" s="414" t="s">
        <v>619</v>
      </c>
      <c r="AG161" s="414" t="s">
        <v>506</v>
      </c>
      <c r="AH161" s="414" t="s">
        <v>623</v>
      </c>
    </row>
    <row r="162" spans="26:34">
      <c r="Z162" s="414" t="s">
        <v>530</v>
      </c>
      <c r="AA162" s="414" t="s">
        <v>452</v>
      </c>
      <c r="AB162" s="414" t="s">
        <v>563</v>
      </c>
      <c r="AC162" s="414" t="str">
        <f t="shared" si="2"/>
        <v>Bosnia and HerzegovinaPlane - Long-haul - Premium economy</v>
      </c>
      <c r="AD162" s="414">
        <v>2023</v>
      </c>
      <c r="AE162" s="414">
        <v>0.35952519328859062</v>
      </c>
      <c r="AF162" s="414" t="s">
        <v>619</v>
      </c>
      <c r="AG162" s="414" t="s">
        <v>506</v>
      </c>
      <c r="AH162" s="414" t="s">
        <v>623</v>
      </c>
    </row>
    <row r="163" spans="26:34">
      <c r="Z163" s="414" t="s">
        <v>530</v>
      </c>
      <c r="AA163" s="414" t="s">
        <v>452</v>
      </c>
      <c r="AB163" s="414" t="s">
        <v>568</v>
      </c>
      <c r="AC163" s="414" t="str">
        <f t="shared" si="2"/>
        <v>Bosnia and HerzegovinaPlane - Long-haul - Business class</v>
      </c>
      <c r="AD163" s="414">
        <v>2023</v>
      </c>
      <c r="AE163" s="414">
        <v>0.6516569302013423</v>
      </c>
      <c r="AF163" s="414" t="s">
        <v>619</v>
      </c>
      <c r="AG163" s="414" t="s">
        <v>506</v>
      </c>
      <c r="AH163" s="414" t="s">
        <v>623</v>
      </c>
    </row>
    <row r="164" spans="26:34">
      <c r="Z164" s="414" t="s">
        <v>530</v>
      </c>
      <c r="AA164" s="414" t="s">
        <v>452</v>
      </c>
      <c r="AB164" s="414" t="s">
        <v>574</v>
      </c>
      <c r="AC164" s="414" t="str">
        <f t="shared" si="2"/>
        <v>Bosnia and HerzegovinaPlane - Long-haul - First class</v>
      </c>
      <c r="AD164" s="414">
        <v>2023</v>
      </c>
      <c r="AE164" s="414">
        <v>0.89884302953020123</v>
      </c>
      <c r="AF164" s="414" t="s">
        <v>619</v>
      </c>
      <c r="AG164" s="414" t="s">
        <v>506</v>
      </c>
      <c r="AH164" s="414" t="s">
        <v>623</v>
      </c>
    </row>
    <row r="165" spans="26:34">
      <c r="Z165" s="414" t="s">
        <v>534</v>
      </c>
      <c r="AA165" s="414" t="s">
        <v>452</v>
      </c>
      <c r="AB165" s="414" t="s">
        <v>549</v>
      </c>
      <c r="AC165" s="414" t="str">
        <f t="shared" si="2"/>
        <v>BulgariaPlane - Short-haul - Economy</v>
      </c>
      <c r="AD165" s="414">
        <v>2023</v>
      </c>
      <c r="AE165" s="414">
        <v>0.20535935436241612</v>
      </c>
      <c r="AF165" s="414" t="s">
        <v>619</v>
      </c>
      <c r="AG165" s="414" t="s">
        <v>506</v>
      </c>
      <c r="AH165" s="414" t="s">
        <v>623</v>
      </c>
    </row>
    <row r="166" spans="26:34">
      <c r="Z166" s="414" t="s">
        <v>534</v>
      </c>
      <c r="AA166" s="414" t="s">
        <v>452</v>
      </c>
      <c r="AB166" s="414" t="s">
        <v>554</v>
      </c>
      <c r="AC166" s="414" t="str">
        <f t="shared" si="2"/>
        <v>BulgariaPlane - Short-haul - Business class</v>
      </c>
      <c r="AD166" s="414">
        <v>2023</v>
      </c>
      <c r="AE166" s="414">
        <v>0.30803287785234901</v>
      </c>
      <c r="AF166" s="414" t="s">
        <v>619</v>
      </c>
      <c r="AG166" s="414" t="s">
        <v>506</v>
      </c>
      <c r="AH166" s="414" t="s">
        <v>623</v>
      </c>
    </row>
    <row r="167" spans="26:34">
      <c r="Z167" s="414" t="s">
        <v>534</v>
      </c>
      <c r="AA167" s="414" t="s">
        <v>452</v>
      </c>
      <c r="AB167" s="414" t="s">
        <v>559</v>
      </c>
      <c r="AC167" s="414" t="str">
        <f t="shared" si="2"/>
        <v>BulgariaPlane - Long-haul - Economy</v>
      </c>
      <c r="AD167" s="414">
        <v>2023</v>
      </c>
      <c r="AE167" s="414">
        <v>0.22471828053691276</v>
      </c>
      <c r="AF167" s="414" t="s">
        <v>619</v>
      </c>
      <c r="AG167" s="414" t="s">
        <v>506</v>
      </c>
      <c r="AH167" s="414" t="s">
        <v>623</v>
      </c>
    </row>
    <row r="168" spans="26:34">
      <c r="Z168" s="414" t="s">
        <v>534</v>
      </c>
      <c r="AA168" s="414" t="s">
        <v>452</v>
      </c>
      <c r="AB168" s="414" t="s">
        <v>563</v>
      </c>
      <c r="AC168" s="414" t="str">
        <f t="shared" si="2"/>
        <v>BulgariaPlane - Long-haul - Premium economy</v>
      </c>
      <c r="AD168" s="414">
        <v>2023</v>
      </c>
      <c r="AE168" s="414">
        <v>0.35952519328859062</v>
      </c>
      <c r="AF168" s="414" t="s">
        <v>619</v>
      </c>
      <c r="AG168" s="414" t="s">
        <v>506</v>
      </c>
      <c r="AH168" s="414" t="s">
        <v>623</v>
      </c>
    </row>
    <row r="169" spans="26:34">
      <c r="Z169" s="414" t="s">
        <v>534</v>
      </c>
      <c r="AA169" s="414" t="s">
        <v>452</v>
      </c>
      <c r="AB169" s="414" t="s">
        <v>568</v>
      </c>
      <c r="AC169" s="414" t="str">
        <f t="shared" si="2"/>
        <v>BulgariaPlane - Long-haul - Business class</v>
      </c>
      <c r="AD169" s="414">
        <v>2023</v>
      </c>
      <c r="AE169" s="414">
        <v>0.6516569302013423</v>
      </c>
      <c r="AF169" s="414" t="s">
        <v>619</v>
      </c>
      <c r="AG169" s="414" t="s">
        <v>506</v>
      </c>
      <c r="AH169" s="414" t="s">
        <v>623</v>
      </c>
    </row>
    <row r="170" spans="26:34">
      <c r="Z170" s="414" t="s">
        <v>534</v>
      </c>
      <c r="AA170" s="414" t="s">
        <v>452</v>
      </c>
      <c r="AB170" s="414" t="s">
        <v>574</v>
      </c>
      <c r="AC170" s="414" t="str">
        <f t="shared" si="2"/>
        <v>BulgariaPlane - Long-haul - First class</v>
      </c>
      <c r="AD170" s="414">
        <v>2023</v>
      </c>
      <c r="AE170" s="414">
        <v>0.89884302953020123</v>
      </c>
      <c r="AF170" s="414" t="s">
        <v>619</v>
      </c>
      <c r="AG170" s="414" t="s">
        <v>506</v>
      </c>
      <c r="AH170" s="414" t="s">
        <v>623</v>
      </c>
    </row>
    <row r="171" spans="26:34">
      <c r="Z171" s="414" t="s">
        <v>538</v>
      </c>
      <c r="AA171" s="414" t="s">
        <v>452</v>
      </c>
      <c r="AB171" s="414" t="s">
        <v>549</v>
      </c>
      <c r="AC171" s="414" t="str">
        <f t="shared" si="2"/>
        <v>CroatiaPlane - Short-haul - Economy</v>
      </c>
      <c r="AD171" s="414">
        <v>2023</v>
      </c>
      <c r="AE171" s="414">
        <v>0.20535935436241612</v>
      </c>
      <c r="AF171" s="414" t="s">
        <v>619</v>
      </c>
      <c r="AG171" s="414" t="s">
        <v>506</v>
      </c>
      <c r="AH171" s="414" t="s">
        <v>623</v>
      </c>
    </row>
    <row r="172" spans="26:34">
      <c r="Z172" s="414" t="s">
        <v>538</v>
      </c>
      <c r="AA172" s="414" t="s">
        <v>452</v>
      </c>
      <c r="AB172" s="414" t="s">
        <v>554</v>
      </c>
      <c r="AC172" s="414" t="str">
        <f t="shared" si="2"/>
        <v>CroatiaPlane - Short-haul - Business class</v>
      </c>
      <c r="AD172" s="414">
        <v>2023</v>
      </c>
      <c r="AE172" s="414">
        <v>0.30803287785234901</v>
      </c>
      <c r="AF172" s="414" t="s">
        <v>619</v>
      </c>
      <c r="AG172" s="414" t="s">
        <v>506</v>
      </c>
      <c r="AH172" s="414" t="s">
        <v>623</v>
      </c>
    </row>
    <row r="173" spans="26:34">
      <c r="Z173" s="414" t="s">
        <v>538</v>
      </c>
      <c r="AA173" s="414" t="s">
        <v>452</v>
      </c>
      <c r="AB173" s="414" t="s">
        <v>559</v>
      </c>
      <c r="AC173" s="414" t="str">
        <f t="shared" si="2"/>
        <v>CroatiaPlane - Long-haul - Economy</v>
      </c>
      <c r="AD173" s="414">
        <v>2023</v>
      </c>
      <c r="AE173" s="414">
        <v>0.22471828053691276</v>
      </c>
      <c r="AF173" s="414" t="s">
        <v>619</v>
      </c>
      <c r="AG173" s="414" t="s">
        <v>506</v>
      </c>
      <c r="AH173" s="414" t="s">
        <v>623</v>
      </c>
    </row>
    <row r="174" spans="26:34">
      <c r="Z174" s="414" t="s">
        <v>538</v>
      </c>
      <c r="AA174" s="414" t="s">
        <v>452</v>
      </c>
      <c r="AB174" s="414" t="s">
        <v>563</v>
      </c>
      <c r="AC174" s="414" t="str">
        <f t="shared" si="2"/>
        <v>CroatiaPlane - Long-haul - Premium economy</v>
      </c>
      <c r="AD174" s="414">
        <v>2023</v>
      </c>
      <c r="AE174" s="414">
        <v>0.35952519328859062</v>
      </c>
      <c r="AF174" s="414" t="s">
        <v>619</v>
      </c>
      <c r="AG174" s="414" t="s">
        <v>506</v>
      </c>
      <c r="AH174" s="414" t="s">
        <v>623</v>
      </c>
    </row>
    <row r="175" spans="26:34">
      <c r="Z175" s="414" t="s">
        <v>538</v>
      </c>
      <c r="AA175" s="414" t="s">
        <v>452</v>
      </c>
      <c r="AB175" s="414" t="s">
        <v>568</v>
      </c>
      <c r="AC175" s="414" t="str">
        <f t="shared" si="2"/>
        <v>CroatiaPlane - Long-haul - Business class</v>
      </c>
      <c r="AD175" s="414">
        <v>2023</v>
      </c>
      <c r="AE175" s="414">
        <v>0.6516569302013423</v>
      </c>
      <c r="AF175" s="414" t="s">
        <v>619</v>
      </c>
      <c r="AG175" s="414" t="s">
        <v>506</v>
      </c>
      <c r="AH175" s="414" t="s">
        <v>623</v>
      </c>
    </row>
    <row r="176" spans="26:34">
      <c r="Z176" s="414" t="s">
        <v>538</v>
      </c>
      <c r="AA176" s="414" t="s">
        <v>452</v>
      </c>
      <c r="AB176" s="414" t="s">
        <v>574</v>
      </c>
      <c r="AC176" s="414" t="str">
        <f t="shared" si="2"/>
        <v>CroatiaPlane - Long-haul - First class</v>
      </c>
      <c r="AD176" s="414">
        <v>2023</v>
      </c>
      <c r="AE176" s="414">
        <v>0.89884302953020123</v>
      </c>
      <c r="AF176" s="414" t="s">
        <v>619</v>
      </c>
      <c r="AG176" s="414" t="s">
        <v>506</v>
      </c>
      <c r="AH176" s="414" t="s">
        <v>623</v>
      </c>
    </row>
    <row r="177" spans="26:34">
      <c r="Z177" s="414" t="s">
        <v>542</v>
      </c>
      <c r="AA177" s="414" t="s">
        <v>452</v>
      </c>
      <c r="AB177" s="414" t="s">
        <v>549</v>
      </c>
      <c r="AC177" s="414" t="str">
        <f t="shared" si="2"/>
        <v>CzechiaPlane - Short-haul - Economy</v>
      </c>
      <c r="AD177" s="414">
        <v>2023</v>
      </c>
      <c r="AE177" s="414">
        <v>0.20535935436241612</v>
      </c>
      <c r="AF177" s="414" t="s">
        <v>619</v>
      </c>
      <c r="AG177" s="414" t="s">
        <v>506</v>
      </c>
      <c r="AH177" s="414" t="s">
        <v>623</v>
      </c>
    </row>
    <row r="178" spans="26:34">
      <c r="Z178" s="414" t="s">
        <v>542</v>
      </c>
      <c r="AA178" s="414" t="s">
        <v>452</v>
      </c>
      <c r="AB178" s="414" t="s">
        <v>554</v>
      </c>
      <c r="AC178" s="414" t="str">
        <f t="shared" si="2"/>
        <v>CzechiaPlane - Short-haul - Business class</v>
      </c>
      <c r="AD178" s="414">
        <v>2023</v>
      </c>
      <c r="AE178" s="414">
        <v>0.30803287785234901</v>
      </c>
      <c r="AF178" s="414" t="s">
        <v>619</v>
      </c>
      <c r="AG178" s="414" t="s">
        <v>506</v>
      </c>
      <c r="AH178" s="414" t="s">
        <v>623</v>
      </c>
    </row>
    <row r="179" spans="26:34">
      <c r="Z179" s="414" t="s">
        <v>542</v>
      </c>
      <c r="AA179" s="414" t="s">
        <v>452</v>
      </c>
      <c r="AB179" s="414" t="s">
        <v>559</v>
      </c>
      <c r="AC179" s="414" t="str">
        <f t="shared" si="2"/>
        <v>CzechiaPlane - Long-haul - Economy</v>
      </c>
      <c r="AD179" s="414">
        <v>2023</v>
      </c>
      <c r="AE179" s="414">
        <v>0.22471828053691276</v>
      </c>
      <c r="AF179" s="414" t="s">
        <v>619</v>
      </c>
      <c r="AG179" s="414" t="s">
        <v>506</v>
      </c>
      <c r="AH179" s="414" t="s">
        <v>623</v>
      </c>
    </row>
    <row r="180" spans="26:34">
      <c r="Z180" s="414" t="s">
        <v>542</v>
      </c>
      <c r="AA180" s="414" t="s">
        <v>452</v>
      </c>
      <c r="AB180" s="414" t="s">
        <v>563</v>
      </c>
      <c r="AC180" s="414" t="str">
        <f t="shared" si="2"/>
        <v>CzechiaPlane - Long-haul - Premium economy</v>
      </c>
      <c r="AD180" s="414">
        <v>2023</v>
      </c>
      <c r="AE180" s="414">
        <v>0.35952519328859062</v>
      </c>
      <c r="AF180" s="414" t="s">
        <v>619</v>
      </c>
      <c r="AG180" s="414" t="s">
        <v>506</v>
      </c>
      <c r="AH180" s="414" t="s">
        <v>623</v>
      </c>
    </row>
    <row r="181" spans="26:34">
      <c r="Z181" s="414" t="s">
        <v>542</v>
      </c>
      <c r="AA181" s="414" t="s">
        <v>452</v>
      </c>
      <c r="AB181" s="414" t="s">
        <v>568</v>
      </c>
      <c r="AC181" s="414" t="str">
        <f t="shared" si="2"/>
        <v>CzechiaPlane - Long-haul - Business class</v>
      </c>
      <c r="AD181" s="414">
        <v>2023</v>
      </c>
      <c r="AE181" s="414">
        <v>0.6516569302013423</v>
      </c>
      <c r="AF181" s="414" t="s">
        <v>619</v>
      </c>
      <c r="AG181" s="414" t="s">
        <v>506</v>
      </c>
      <c r="AH181" s="414" t="s">
        <v>623</v>
      </c>
    </row>
    <row r="182" spans="26:34">
      <c r="Z182" s="414" t="s">
        <v>542</v>
      </c>
      <c r="AA182" s="414" t="s">
        <v>452</v>
      </c>
      <c r="AB182" s="414" t="s">
        <v>574</v>
      </c>
      <c r="AC182" s="414" t="str">
        <f t="shared" si="2"/>
        <v>CzechiaPlane - Long-haul - First class</v>
      </c>
      <c r="AD182" s="414">
        <v>2023</v>
      </c>
      <c r="AE182" s="414">
        <v>0.89884302953020123</v>
      </c>
      <c r="AF182" s="414" t="s">
        <v>619</v>
      </c>
      <c r="AG182" s="414" t="s">
        <v>506</v>
      </c>
      <c r="AH182" s="414" t="s">
        <v>623</v>
      </c>
    </row>
    <row r="183" spans="26:34">
      <c r="Z183" s="414" t="s">
        <v>545</v>
      </c>
      <c r="AA183" s="414" t="s">
        <v>452</v>
      </c>
      <c r="AB183" s="414" t="s">
        <v>549</v>
      </c>
      <c r="AC183" s="414" t="str">
        <f t="shared" si="2"/>
        <v>DenmarkPlane - Short-haul - Economy</v>
      </c>
      <c r="AD183" s="414">
        <v>2023</v>
      </c>
      <c r="AE183" s="414">
        <v>0.20535935436241612</v>
      </c>
      <c r="AF183" s="414" t="s">
        <v>619</v>
      </c>
      <c r="AG183" s="414" t="s">
        <v>506</v>
      </c>
      <c r="AH183" s="414" t="s">
        <v>623</v>
      </c>
    </row>
    <row r="184" spans="26:34">
      <c r="Z184" s="414" t="s">
        <v>545</v>
      </c>
      <c r="AA184" s="414" t="s">
        <v>452</v>
      </c>
      <c r="AB184" s="414" t="s">
        <v>554</v>
      </c>
      <c r="AC184" s="414" t="str">
        <f t="shared" si="2"/>
        <v>DenmarkPlane - Short-haul - Business class</v>
      </c>
      <c r="AD184" s="414">
        <v>2023</v>
      </c>
      <c r="AE184" s="414">
        <v>0.30803287785234901</v>
      </c>
      <c r="AF184" s="414" t="s">
        <v>619</v>
      </c>
      <c r="AG184" s="414" t="s">
        <v>506</v>
      </c>
      <c r="AH184" s="414" t="s">
        <v>623</v>
      </c>
    </row>
    <row r="185" spans="26:34">
      <c r="Z185" s="414" t="s">
        <v>545</v>
      </c>
      <c r="AA185" s="414" t="s">
        <v>452</v>
      </c>
      <c r="AB185" s="414" t="s">
        <v>559</v>
      </c>
      <c r="AC185" s="414" t="str">
        <f t="shared" si="2"/>
        <v>DenmarkPlane - Long-haul - Economy</v>
      </c>
      <c r="AD185" s="414">
        <v>2023</v>
      </c>
      <c r="AE185" s="414">
        <v>0.22471828053691276</v>
      </c>
      <c r="AF185" s="414" t="s">
        <v>619</v>
      </c>
      <c r="AG185" s="414" t="s">
        <v>506</v>
      </c>
      <c r="AH185" s="414" t="s">
        <v>623</v>
      </c>
    </row>
    <row r="186" spans="26:34">
      <c r="Z186" s="414" t="s">
        <v>545</v>
      </c>
      <c r="AA186" s="414" t="s">
        <v>452</v>
      </c>
      <c r="AB186" s="414" t="s">
        <v>563</v>
      </c>
      <c r="AC186" s="414" t="str">
        <f t="shared" si="2"/>
        <v>DenmarkPlane - Long-haul - Premium economy</v>
      </c>
      <c r="AD186" s="414">
        <v>2023</v>
      </c>
      <c r="AE186" s="414">
        <v>0.35952519328859062</v>
      </c>
      <c r="AF186" s="414" t="s">
        <v>619</v>
      </c>
      <c r="AG186" s="414" t="s">
        <v>506</v>
      </c>
      <c r="AH186" s="414" t="s">
        <v>623</v>
      </c>
    </row>
    <row r="187" spans="26:34">
      <c r="Z187" s="414" t="s">
        <v>545</v>
      </c>
      <c r="AA187" s="414" t="s">
        <v>452</v>
      </c>
      <c r="AB187" s="414" t="s">
        <v>568</v>
      </c>
      <c r="AC187" s="414" t="str">
        <f t="shared" si="2"/>
        <v>DenmarkPlane - Long-haul - Business class</v>
      </c>
      <c r="AD187" s="414">
        <v>2023</v>
      </c>
      <c r="AE187" s="414">
        <v>0.6516569302013423</v>
      </c>
      <c r="AF187" s="414" t="s">
        <v>619</v>
      </c>
      <c r="AG187" s="414" t="s">
        <v>506</v>
      </c>
      <c r="AH187" s="414" t="s">
        <v>623</v>
      </c>
    </row>
    <row r="188" spans="26:34">
      <c r="Z188" s="414" t="s">
        <v>545</v>
      </c>
      <c r="AA188" s="414" t="s">
        <v>452</v>
      </c>
      <c r="AB188" s="414" t="s">
        <v>574</v>
      </c>
      <c r="AC188" s="414" t="str">
        <f t="shared" si="2"/>
        <v>DenmarkPlane - Long-haul - First class</v>
      </c>
      <c r="AD188" s="414">
        <v>2023</v>
      </c>
      <c r="AE188" s="414">
        <v>0.89884302953020123</v>
      </c>
      <c r="AF188" s="414" t="s">
        <v>619</v>
      </c>
      <c r="AG188" s="414" t="s">
        <v>506</v>
      </c>
      <c r="AH188" s="414" t="s">
        <v>623</v>
      </c>
    </row>
    <row r="189" spans="26:34">
      <c r="Z189" s="414" t="s">
        <v>550</v>
      </c>
      <c r="AA189" s="414" t="s">
        <v>452</v>
      </c>
      <c r="AB189" s="414" t="s">
        <v>549</v>
      </c>
      <c r="AC189" s="414" t="str">
        <f t="shared" si="2"/>
        <v>EstoniaPlane - Short-haul - Economy</v>
      </c>
      <c r="AD189" s="414">
        <v>2023</v>
      </c>
      <c r="AE189" s="414">
        <v>0.20535935436241612</v>
      </c>
      <c r="AF189" s="414" t="s">
        <v>619</v>
      </c>
      <c r="AG189" s="414" t="s">
        <v>506</v>
      </c>
      <c r="AH189" s="414" t="s">
        <v>623</v>
      </c>
    </row>
    <row r="190" spans="26:34">
      <c r="Z190" s="414" t="s">
        <v>550</v>
      </c>
      <c r="AA190" s="414" t="s">
        <v>452</v>
      </c>
      <c r="AB190" s="414" t="s">
        <v>554</v>
      </c>
      <c r="AC190" s="414" t="str">
        <f t="shared" si="2"/>
        <v>EstoniaPlane - Short-haul - Business class</v>
      </c>
      <c r="AD190" s="414">
        <v>2023</v>
      </c>
      <c r="AE190" s="414">
        <v>0.30803287785234901</v>
      </c>
      <c r="AF190" s="414" t="s">
        <v>619</v>
      </c>
      <c r="AG190" s="414" t="s">
        <v>506</v>
      </c>
      <c r="AH190" s="414" t="s">
        <v>623</v>
      </c>
    </row>
    <row r="191" spans="26:34">
      <c r="Z191" s="414" t="s">
        <v>550</v>
      </c>
      <c r="AA191" s="414" t="s">
        <v>452</v>
      </c>
      <c r="AB191" s="414" t="s">
        <v>559</v>
      </c>
      <c r="AC191" s="414" t="str">
        <f t="shared" si="2"/>
        <v>EstoniaPlane - Long-haul - Economy</v>
      </c>
      <c r="AD191" s="414">
        <v>2023</v>
      </c>
      <c r="AE191" s="414">
        <v>0.22471828053691276</v>
      </c>
      <c r="AF191" s="414" t="s">
        <v>619</v>
      </c>
      <c r="AG191" s="414" t="s">
        <v>506</v>
      </c>
      <c r="AH191" s="414" t="s">
        <v>623</v>
      </c>
    </row>
    <row r="192" spans="26:34">
      <c r="Z192" s="414" t="s">
        <v>550</v>
      </c>
      <c r="AA192" s="414" t="s">
        <v>452</v>
      </c>
      <c r="AB192" s="414" t="s">
        <v>563</v>
      </c>
      <c r="AC192" s="414" t="str">
        <f t="shared" si="2"/>
        <v>EstoniaPlane - Long-haul - Premium economy</v>
      </c>
      <c r="AD192" s="414">
        <v>2023</v>
      </c>
      <c r="AE192" s="414">
        <v>0.35952519328859062</v>
      </c>
      <c r="AF192" s="414" t="s">
        <v>619</v>
      </c>
      <c r="AG192" s="414" t="s">
        <v>506</v>
      </c>
      <c r="AH192" s="414" t="s">
        <v>623</v>
      </c>
    </row>
    <row r="193" spans="26:34">
      <c r="Z193" s="414" t="s">
        <v>550</v>
      </c>
      <c r="AA193" s="414" t="s">
        <v>452</v>
      </c>
      <c r="AB193" s="414" t="s">
        <v>568</v>
      </c>
      <c r="AC193" s="414" t="str">
        <f t="shared" si="2"/>
        <v>EstoniaPlane - Long-haul - Business class</v>
      </c>
      <c r="AD193" s="414">
        <v>2023</v>
      </c>
      <c r="AE193" s="414">
        <v>0.6516569302013423</v>
      </c>
      <c r="AF193" s="414" t="s">
        <v>619</v>
      </c>
      <c r="AG193" s="414" t="s">
        <v>506</v>
      </c>
      <c r="AH193" s="414" t="s">
        <v>623</v>
      </c>
    </row>
    <row r="194" spans="26:34">
      <c r="Z194" s="414" t="s">
        <v>550</v>
      </c>
      <c r="AA194" s="414" t="s">
        <v>452</v>
      </c>
      <c r="AB194" s="414" t="s">
        <v>574</v>
      </c>
      <c r="AC194" s="414" t="str">
        <f t="shared" si="2"/>
        <v>EstoniaPlane - Long-haul - First class</v>
      </c>
      <c r="AD194" s="414">
        <v>2023</v>
      </c>
      <c r="AE194" s="414">
        <v>0.89884302953020123</v>
      </c>
      <c r="AF194" s="414" t="s">
        <v>619</v>
      </c>
      <c r="AG194" s="414" t="s">
        <v>506</v>
      </c>
      <c r="AH194" s="414" t="s">
        <v>623</v>
      </c>
    </row>
    <row r="195" spans="26:34">
      <c r="Z195" s="414" t="s">
        <v>555</v>
      </c>
      <c r="AA195" s="414" t="s">
        <v>452</v>
      </c>
      <c r="AB195" s="414" t="s">
        <v>549</v>
      </c>
      <c r="AC195" s="414" t="str">
        <f t="shared" ref="AC195:AC258" si="3">Z195&amp;AB195</f>
        <v>FinlandPlane - Short-haul - Economy</v>
      </c>
      <c r="AD195" s="414">
        <v>2023</v>
      </c>
      <c r="AE195" s="414">
        <v>0.20535935436241612</v>
      </c>
      <c r="AF195" s="414" t="s">
        <v>619</v>
      </c>
      <c r="AG195" s="414" t="s">
        <v>506</v>
      </c>
      <c r="AH195" s="414" t="s">
        <v>623</v>
      </c>
    </row>
    <row r="196" spans="26:34">
      <c r="Z196" s="414" t="s">
        <v>555</v>
      </c>
      <c r="AA196" s="414" t="s">
        <v>452</v>
      </c>
      <c r="AB196" s="414" t="s">
        <v>554</v>
      </c>
      <c r="AC196" s="414" t="str">
        <f t="shared" si="3"/>
        <v>FinlandPlane - Short-haul - Business class</v>
      </c>
      <c r="AD196" s="414">
        <v>2023</v>
      </c>
      <c r="AE196" s="414">
        <v>0.30803287785234901</v>
      </c>
      <c r="AF196" s="414" t="s">
        <v>619</v>
      </c>
      <c r="AG196" s="414" t="s">
        <v>506</v>
      </c>
      <c r="AH196" s="414" t="s">
        <v>623</v>
      </c>
    </row>
    <row r="197" spans="26:34">
      <c r="Z197" s="414" t="s">
        <v>555</v>
      </c>
      <c r="AA197" s="414" t="s">
        <v>452</v>
      </c>
      <c r="AB197" s="414" t="s">
        <v>559</v>
      </c>
      <c r="AC197" s="414" t="str">
        <f t="shared" si="3"/>
        <v>FinlandPlane - Long-haul - Economy</v>
      </c>
      <c r="AD197" s="414">
        <v>2023</v>
      </c>
      <c r="AE197" s="414">
        <v>0.22471828053691276</v>
      </c>
      <c r="AF197" s="414" t="s">
        <v>619</v>
      </c>
      <c r="AG197" s="414" t="s">
        <v>506</v>
      </c>
      <c r="AH197" s="414" t="s">
        <v>623</v>
      </c>
    </row>
    <row r="198" spans="26:34">
      <c r="Z198" s="414" t="s">
        <v>555</v>
      </c>
      <c r="AA198" s="414" t="s">
        <v>452</v>
      </c>
      <c r="AB198" s="414" t="s">
        <v>563</v>
      </c>
      <c r="AC198" s="414" t="str">
        <f t="shared" si="3"/>
        <v>FinlandPlane - Long-haul - Premium economy</v>
      </c>
      <c r="AD198" s="414">
        <v>2023</v>
      </c>
      <c r="AE198" s="414">
        <v>0.35952519328859062</v>
      </c>
      <c r="AF198" s="414" t="s">
        <v>619</v>
      </c>
      <c r="AG198" s="414" t="s">
        <v>506</v>
      </c>
      <c r="AH198" s="414" t="s">
        <v>623</v>
      </c>
    </row>
    <row r="199" spans="26:34">
      <c r="Z199" s="414" t="s">
        <v>555</v>
      </c>
      <c r="AA199" s="414" t="s">
        <v>452</v>
      </c>
      <c r="AB199" s="414" t="s">
        <v>568</v>
      </c>
      <c r="AC199" s="414" t="str">
        <f t="shared" si="3"/>
        <v>FinlandPlane - Long-haul - Business class</v>
      </c>
      <c r="AD199" s="414">
        <v>2023</v>
      </c>
      <c r="AE199" s="414">
        <v>0.6516569302013423</v>
      </c>
      <c r="AF199" s="414" t="s">
        <v>619</v>
      </c>
      <c r="AG199" s="414" t="s">
        <v>506</v>
      </c>
      <c r="AH199" s="414" t="s">
        <v>623</v>
      </c>
    </row>
    <row r="200" spans="26:34">
      <c r="Z200" s="414" t="s">
        <v>555</v>
      </c>
      <c r="AA200" s="414" t="s">
        <v>452</v>
      </c>
      <c r="AB200" s="414" t="s">
        <v>574</v>
      </c>
      <c r="AC200" s="414" t="str">
        <f t="shared" si="3"/>
        <v>FinlandPlane - Long-haul - First class</v>
      </c>
      <c r="AD200" s="414">
        <v>2023</v>
      </c>
      <c r="AE200" s="414">
        <v>0.89884302953020123</v>
      </c>
      <c r="AF200" s="414" t="s">
        <v>619</v>
      </c>
      <c r="AG200" s="414" t="s">
        <v>506</v>
      </c>
      <c r="AH200" s="414" t="s">
        <v>623</v>
      </c>
    </row>
    <row r="201" spans="26:34">
      <c r="Z201" s="414" t="s">
        <v>560</v>
      </c>
      <c r="AA201" s="414" t="s">
        <v>452</v>
      </c>
      <c r="AB201" s="414" t="s">
        <v>549</v>
      </c>
      <c r="AC201" s="414" t="str">
        <f t="shared" si="3"/>
        <v>FrancePlane - Short-haul - Economy</v>
      </c>
      <c r="AD201" s="414">
        <v>2023</v>
      </c>
      <c r="AE201" s="414">
        <v>0.20535935436241612</v>
      </c>
      <c r="AF201" s="414" t="s">
        <v>619</v>
      </c>
      <c r="AG201" s="414" t="s">
        <v>506</v>
      </c>
      <c r="AH201" s="414" t="s">
        <v>623</v>
      </c>
    </row>
    <row r="202" spans="26:34">
      <c r="Z202" s="414" t="s">
        <v>560</v>
      </c>
      <c r="AA202" s="414" t="s">
        <v>452</v>
      </c>
      <c r="AB202" s="414" t="s">
        <v>554</v>
      </c>
      <c r="AC202" s="414" t="str">
        <f t="shared" si="3"/>
        <v>FrancePlane - Short-haul - Business class</v>
      </c>
      <c r="AD202" s="414">
        <v>2023</v>
      </c>
      <c r="AE202" s="414">
        <v>0.30803287785234901</v>
      </c>
      <c r="AF202" s="414" t="s">
        <v>619</v>
      </c>
      <c r="AG202" s="414" t="s">
        <v>506</v>
      </c>
      <c r="AH202" s="414" t="s">
        <v>623</v>
      </c>
    </row>
    <row r="203" spans="26:34">
      <c r="Z203" s="414" t="s">
        <v>560</v>
      </c>
      <c r="AA203" s="414" t="s">
        <v>452</v>
      </c>
      <c r="AB203" s="414" t="s">
        <v>559</v>
      </c>
      <c r="AC203" s="414" t="str">
        <f t="shared" si="3"/>
        <v>FrancePlane - Long-haul - Economy</v>
      </c>
      <c r="AD203" s="414">
        <v>2023</v>
      </c>
      <c r="AE203" s="414">
        <v>0.22471828053691276</v>
      </c>
      <c r="AF203" s="414" t="s">
        <v>619</v>
      </c>
      <c r="AG203" s="414" t="s">
        <v>506</v>
      </c>
      <c r="AH203" s="414" t="s">
        <v>623</v>
      </c>
    </row>
    <row r="204" spans="26:34">
      <c r="Z204" s="414" t="s">
        <v>560</v>
      </c>
      <c r="AA204" s="414" t="s">
        <v>452</v>
      </c>
      <c r="AB204" s="414" t="s">
        <v>563</v>
      </c>
      <c r="AC204" s="414" t="str">
        <f t="shared" si="3"/>
        <v>FrancePlane - Long-haul - Premium economy</v>
      </c>
      <c r="AD204" s="414">
        <v>2023</v>
      </c>
      <c r="AE204" s="414">
        <v>0.35952519328859062</v>
      </c>
      <c r="AF204" s="414" t="s">
        <v>619</v>
      </c>
      <c r="AG204" s="414" t="s">
        <v>506</v>
      </c>
      <c r="AH204" s="414" t="s">
        <v>623</v>
      </c>
    </row>
    <row r="205" spans="26:34">
      <c r="Z205" s="414" t="s">
        <v>560</v>
      </c>
      <c r="AA205" s="414" t="s">
        <v>452</v>
      </c>
      <c r="AB205" s="414" t="s">
        <v>568</v>
      </c>
      <c r="AC205" s="414" t="str">
        <f t="shared" si="3"/>
        <v>FrancePlane - Long-haul - Business class</v>
      </c>
      <c r="AD205" s="414">
        <v>2023</v>
      </c>
      <c r="AE205" s="414">
        <v>0.6516569302013423</v>
      </c>
      <c r="AF205" s="414" t="s">
        <v>619</v>
      </c>
      <c r="AG205" s="414" t="s">
        <v>506</v>
      </c>
      <c r="AH205" s="414" t="s">
        <v>623</v>
      </c>
    </row>
    <row r="206" spans="26:34">
      <c r="Z206" s="414" t="s">
        <v>560</v>
      </c>
      <c r="AA206" s="414" t="s">
        <v>452</v>
      </c>
      <c r="AB206" s="414" t="s">
        <v>574</v>
      </c>
      <c r="AC206" s="414" t="str">
        <f t="shared" si="3"/>
        <v>FrancePlane - Long-haul - First class</v>
      </c>
      <c r="AD206" s="414">
        <v>2023</v>
      </c>
      <c r="AE206" s="414">
        <v>0.89884302953020123</v>
      </c>
      <c r="AF206" s="414" t="s">
        <v>619</v>
      </c>
      <c r="AG206" s="414" t="s">
        <v>506</v>
      </c>
      <c r="AH206" s="414" t="s">
        <v>623</v>
      </c>
    </row>
    <row r="207" spans="26:34">
      <c r="Z207" s="414" t="s">
        <v>565</v>
      </c>
      <c r="AA207" s="414" t="s">
        <v>452</v>
      </c>
      <c r="AB207" s="414" t="s">
        <v>549</v>
      </c>
      <c r="AC207" s="414" t="str">
        <f t="shared" si="3"/>
        <v>GermanyPlane - Short-haul - Economy</v>
      </c>
      <c r="AD207" s="414">
        <v>2023</v>
      </c>
      <c r="AE207" s="414">
        <v>0.20535935436241612</v>
      </c>
      <c r="AF207" s="414" t="s">
        <v>619</v>
      </c>
      <c r="AG207" s="414" t="s">
        <v>506</v>
      </c>
      <c r="AH207" s="414" t="s">
        <v>623</v>
      </c>
    </row>
    <row r="208" spans="26:34">
      <c r="Z208" s="414" t="s">
        <v>565</v>
      </c>
      <c r="AA208" s="414" t="s">
        <v>452</v>
      </c>
      <c r="AB208" s="414" t="s">
        <v>554</v>
      </c>
      <c r="AC208" s="414" t="str">
        <f t="shared" si="3"/>
        <v>GermanyPlane - Short-haul - Business class</v>
      </c>
      <c r="AD208" s="414">
        <v>2023</v>
      </c>
      <c r="AE208" s="414">
        <v>0.30803287785234901</v>
      </c>
      <c r="AF208" s="414" t="s">
        <v>619</v>
      </c>
      <c r="AG208" s="414" t="s">
        <v>506</v>
      </c>
      <c r="AH208" s="414" t="s">
        <v>623</v>
      </c>
    </row>
    <row r="209" spans="26:34">
      <c r="Z209" s="414" t="s">
        <v>565</v>
      </c>
      <c r="AA209" s="414" t="s">
        <v>452</v>
      </c>
      <c r="AB209" s="414" t="s">
        <v>559</v>
      </c>
      <c r="AC209" s="414" t="str">
        <f t="shared" si="3"/>
        <v>GermanyPlane - Long-haul - Economy</v>
      </c>
      <c r="AD209" s="414">
        <v>2023</v>
      </c>
      <c r="AE209" s="414">
        <v>0.22471828053691276</v>
      </c>
      <c r="AF209" s="414" t="s">
        <v>619</v>
      </c>
      <c r="AG209" s="414" t="s">
        <v>506</v>
      </c>
      <c r="AH209" s="414" t="s">
        <v>623</v>
      </c>
    </row>
    <row r="210" spans="26:34">
      <c r="Z210" s="414" t="s">
        <v>565</v>
      </c>
      <c r="AA210" s="414" t="s">
        <v>452</v>
      </c>
      <c r="AB210" s="414" t="s">
        <v>563</v>
      </c>
      <c r="AC210" s="414" t="str">
        <f t="shared" si="3"/>
        <v>GermanyPlane - Long-haul - Premium economy</v>
      </c>
      <c r="AD210" s="414">
        <v>2023</v>
      </c>
      <c r="AE210" s="414">
        <v>0.35952519328859062</v>
      </c>
      <c r="AF210" s="414" t="s">
        <v>619</v>
      </c>
      <c r="AG210" s="414" t="s">
        <v>506</v>
      </c>
      <c r="AH210" s="414" t="s">
        <v>623</v>
      </c>
    </row>
    <row r="211" spans="26:34">
      <c r="Z211" s="414" t="s">
        <v>565</v>
      </c>
      <c r="AA211" s="414" t="s">
        <v>452</v>
      </c>
      <c r="AB211" s="414" t="s">
        <v>568</v>
      </c>
      <c r="AC211" s="414" t="str">
        <f t="shared" si="3"/>
        <v>GermanyPlane - Long-haul - Business class</v>
      </c>
      <c r="AD211" s="414">
        <v>2023</v>
      </c>
      <c r="AE211" s="414">
        <v>0.6516569302013423</v>
      </c>
      <c r="AF211" s="414" t="s">
        <v>619</v>
      </c>
      <c r="AG211" s="414" t="s">
        <v>506</v>
      </c>
      <c r="AH211" s="414" t="s">
        <v>623</v>
      </c>
    </row>
    <row r="212" spans="26:34">
      <c r="Z212" s="414" t="s">
        <v>565</v>
      </c>
      <c r="AA212" s="414" t="s">
        <v>452</v>
      </c>
      <c r="AB212" s="414" t="s">
        <v>574</v>
      </c>
      <c r="AC212" s="414" t="str">
        <f t="shared" si="3"/>
        <v>GermanyPlane - Long-haul - First class</v>
      </c>
      <c r="AD212" s="414">
        <v>2023</v>
      </c>
      <c r="AE212" s="414">
        <v>0.89884302953020123</v>
      </c>
      <c r="AF212" s="414" t="s">
        <v>619</v>
      </c>
      <c r="AG212" s="414" t="s">
        <v>506</v>
      </c>
      <c r="AH212" s="414" t="s">
        <v>623</v>
      </c>
    </row>
    <row r="213" spans="26:34">
      <c r="Z213" s="414" t="s">
        <v>570</v>
      </c>
      <c r="AA213" s="414" t="s">
        <v>452</v>
      </c>
      <c r="AB213" s="414" t="s">
        <v>549</v>
      </c>
      <c r="AC213" s="414" t="str">
        <f t="shared" si="3"/>
        <v>GreecePlane - Short-haul - Economy</v>
      </c>
      <c r="AD213" s="414">
        <v>2023</v>
      </c>
      <c r="AE213" s="414">
        <v>0.20535935436241612</v>
      </c>
      <c r="AF213" s="414" t="s">
        <v>619</v>
      </c>
      <c r="AG213" s="414" t="s">
        <v>506</v>
      </c>
      <c r="AH213" s="414" t="s">
        <v>623</v>
      </c>
    </row>
    <row r="214" spans="26:34">
      <c r="Z214" s="414" t="s">
        <v>570</v>
      </c>
      <c r="AA214" s="414" t="s">
        <v>452</v>
      </c>
      <c r="AB214" s="414" t="s">
        <v>554</v>
      </c>
      <c r="AC214" s="414" t="str">
        <f t="shared" si="3"/>
        <v>GreecePlane - Short-haul - Business class</v>
      </c>
      <c r="AD214" s="414">
        <v>2023</v>
      </c>
      <c r="AE214" s="414">
        <v>0.30803287785234901</v>
      </c>
      <c r="AF214" s="414" t="s">
        <v>619</v>
      </c>
      <c r="AG214" s="414" t="s">
        <v>506</v>
      </c>
      <c r="AH214" s="414" t="s">
        <v>623</v>
      </c>
    </row>
    <row r="215" spans="26:34">
      <c r="Z215" s="414" t="s">
        <v>570</v>
      </c>
      <c r="AA215" s="414" t="s">
        <v>452</v>
      </c>
      <c r="AB215" s="414" t="s">
        <v>559</v>
      </c>
      <c r="AC215" s="414" t="str">
        <f t="shared" si="3"/>
        <v>GreecePlane - Long-haul - Economy</v>
      </c>
      <c r="AD215" s="414">
        <v>2023</v>
      </c>
      <c r="AE215" s="414">
        <v>0.22471828053691276</v>
      </c>
      <c r="AF215" s="414" t="s">
        <v>619</v>
      </c>
      <c r="AG215" s="414" t="s">
        <v>506</v>
      </c>
      <c r="AH215" s="414" t="s">
        <v>623</v>
      </c>
    </row>
    <row r="216" spans="26:34">
      <c r="Z216" s="414" t="s">
        <v>570</v>
      </c>
      <c r="AA216" s="414" t="s">
        <v>452</v>
      </c>
      <c r="AB216" s="414" t="s">
        <v>563</v>
      </c>
      <c r="AC216" s="414" t="str">
        <f t="shared" si="3"/>
        <v>GreecePlane - Long-haul - Premium economy</v>
      </c>
      <c r="AD216" s="414">
        <v>2023</v>
      </c>
      <c r="AE216" s="414">
        <v>0.35952519328859062</v>
      </c>
      <c r="AF216" s="414" t="s">
        <v>619</v>
      </c>
      <c r="AG216" s="414" t="s">
        <v>506</v>
      </c>
      <c r="AH216" s="414" t="s">
        <v>623</v>
      </c>
    </row>
    <row r="217" spans="26:34">
      <c r="Z217" s="414" t="s">
        <v>570</v>
      </c>
      <c r="AA217" s="414" t="s">
        <v>452</v>
      </c>
      <c r="AB217" s="414" t="s">
        <v>568</v>
      </c>
      <c r="AC217" s="414" t="str">
        <f t="shared" si="3"/>
        <v>GreecePlane - Long-haul - Business class</v>
      </c>
      <c r="AD217" s="414">
        <v>2023</v>
      </c>
      <c r="AE217" s="414">
        <v>0.6516569302013423</v>
      </c>
      <c r="AF217" s="414" t="s">
        <v>619</v>
      </c>
      <c r="AG217" s="414" t="s">
        <v>506</v>
      </c>
      <c r="AH217" s="414" t="s">
        <v>623</v>
      </c>
    </row>
    <row r="218" spans="26:34">
      <c r="Z218" s="414" t="s">
        <v>570</v>
      </c>
      <c r="AA218" s="414" t="s">
        <v>452</v>
      </c>
      <c r="AB218" s="414" t="s">
        <v>574</v>
      </c>
      <c r="AC218" s="414" t="str">
        <f t="shared" si="3"/>
        <v>GreecePlane - Long-haul - First class</v>
      </c>
      <c r="AD218" s="414">
        <v>2023</v>
      </c>
      <c r="AE218" s="414">
        <v>0.89884302953020123</v>
      </c>
      <c r="AF218" s="414" t="s">
        <v>619</v>
      </c>
      <c r="AG218" s="414" t="s">
        <v>506</v>
      </c>
      <c r="AH218" s="414" t="s">
        <v>623</v>
      </c>
    </row>
    <row r="219" spans="26:34">
      <c r="Z219" s="414" t="s">
        <v>575</v>
      </c>
      <c r="AA219" s="414" t="s">
        <v>452</v>
      </c>
      <c r="AB219" s="414" t="s">
        <v>549</v>
      </c>
      <c r="AC219" s="414" t="str">
        <f t="shared" si="3"/>
        <v>HungaryPlane - Short-haul - Economy</v>
      </c>
      <c r="AD219" s="414">
        <v>2023</v>
      </c>
      <c r="AE219" s="414">
        <v>0.20535935436241612</v>
      </c>
      <c r="AF219" s="414" t="s">
        <v>619</v>
      </c>
      <c r="AG219" s="414" t="s">
        <v>506</v>
      </c>
      <c r="AH219" s="414" t="s">
        <v>623</v>
      </c>
    </row>
    <row r="220" spans="26:34">
      <c r="Z220" s="414" t="s">
        <v>575</v>
      </c>
      <c r="AA220" s="414" t="s">
        <v>452</v>
      </c>
      <c r="AB220" s="414" t="s">
        <v>554</v>
      </c>
      <c r="AC220" s="414" t="str">
        <f t="shared" si="3"/>
        <v>HungaryPlane - Short-haul - Business class</v>
      </c>
      <c r="AD220" s="414">
        <v>2023</v>
      </c>
      <c r="AE220" s="414">
        <v>0.30803287785234901</v>
      </c>
      <c r="AF220" s="414" t="s">
        <v>619</v>
      </c>
      <c r="AG220" s="414" t="s">
        <v>506</v>
      </c>
      <c r="AH220" s="414" t="s">
        <v>623</v>
      </c>
    </row>
    <row r="221" spans="26:34">
      <c r="Z221" s="414" t="s">
        <v>575</v>
      </c>
      <c r="AA221" s="414" t="s">
        <v>452</v>
      </c>
      <c r="AB221" s="414" t="s">
        <v>559</v>
      </c>
      <c r="AC221" s="414" t="str">
        <f t="shared" si="3"/>
        <v>HungaryPlane - Long-haul - Economy</v>
      </c>
      <c r="AD221" s="414">
        <v>2023</v>
      </c>
      <c r="AE221" s="414">
        <v>0.22471828053691276</v>
      </c>
      <c r="AF221" s="414" t="s">
        <v>619</v>
      </c>
      <c r="AG221" s="414" t="s">
        <v>506</v>
      </c>
      <c r="AH221" s="414" t="s">
        <v>623</v>
      </c>
    </row>
    <row r="222" spans="26:34">
      <c r="Z222" s="414" t="s">
        <v>575</v>
      </c>
      <c r="AA222" s="414" t="s">
        <v>452</v>
      </c>
      <c r="AB222" s="414" t="s">
        <v>563</v>
      </c>
      <c r="AC222" s="414" t="str">
        <f t="shared" si="3"/>
        <v>HungaryPlane - Long-haul - Premium economy</v>
      </c>
      <c r="AD222" s="414">
        <v>2023</v>
      </c>
      <c r="AE222" s="414">
        <v>0.35952519328859062</v>
      </c>
      <c r="AF222" s="414" t="s">
        <v>619</v>
      </c>
      <c r="AG222" s="414" t="s">
        <v>506</v>
      </c>
      <c r="AH222" s="414" t="s">
        <v>623</v>
      </c>
    </row>
    <row r="223" spans="26:34">
      <c r="Z223" s="414" t="s">
        <v>575</v>
      </c>
      <c r="AA223" s="414" t="s">
        <v>452</v>
      </c>
      <c r="AB223" s="414" t="s">
        <v>568</v>
      </c>
      <c r="AC223" s="414" t="str">
        <f t="shared" si="3"/>
        <v>HungaryPlane - Long-haul - Business class</v>
      </c>
      <c r="AD223" s="414">
        <v>2023</v>
      </c>
      <c r="AE223" s="414">
        <v>0.6516569302013423</v>
      </c>
      <c r="AF223" s="414" t="s">
        <v>619</v>
      </c>
      <c r="AG223" s="414" t="s">
        <v>506</v>
      </c>
      <c r="AH223" s="414" t="s">
        <v>623</v>
      </c>
    </row>
    <row r="224" spans="26:34">
      <c r="Z224" s="414" t="s">
        <v>575</v>
      </c>
      <c r="AA224" s="414" t="s">
        <v>452</v>
      </c>
      <c r="AB224" s="414" t="s">
        <v>574</v>
      </c>
      <c r="AC224" s="414" t="str">
        <f t="shared" si="3"/>
        <v>HungaryPlane - Long-haul - First class</v>
      </c>
      <c r="AD224" s="414">
        <v>2023</v>
      </c>
      <c r="AE224" s="414">
        <v>0.89884302953020123</v>
      </c>
      <c r="AF224" s="414" t="s">
        <v>619</v>
      </c>
      <c r="AG224" s="414" t="s">
        <v>506</v>
      </c>
      <c r="AH224" s="414" t="s">
        <v>623</v>
      </c>
    </row>
    <row r="225" spans="26:34">
      <c r="Z225" s="414" t="s">
        <v>579</v>
      </c>
      <c r="AA225" s="414" t="s">
        <v>452</v>
      </c>
      <c r="AB225" s="414" t="s">
        <v>549</v>
      </c>
      <c r="AC225" s="414" t="str">
        <f t="shared" si="3"/>
        <v>IcelandPlane - Short-haul - Economy</v>
      </c>
      <c r="AD225" s="414">
        <v>2023</v>
      </c>
      <c r="AE225" s="414">
        <v>0.20535935436241612</v>
      </c>
      <c r="AF225" s="414" t="s">
        <v>619</v>
      </c>
      <c r="AG225" s="414" t="s">
        <v>506</v>
      </c>
      <c r="AH225" s="414" t="s">
        <v>623</v>
      </c>
    </row>
    <row r="226" spans="26:34">
      <c r="Z226" s="414" t="s">
        <v>579</v>
      </c>
      <c r="AA226" s="414" t="s">
        <v>452</v>
      </c>
      <c r="AB226" s="414" t="s">
        <v>554</v>
      </c>
      <c r="AC226" s="414" t="str">
        <f t="shared" si="3"/>
        <v>IcelandPlane - Short-haul - Business class</v>
      </c>
      <c r="AD226" s="414">
        <v>2023</v>
      </c>
      <c r="AE226" s="414">
        <v>0.30803287785234901</v>
      </c>
      <c r="AF226" s="414" t="s">
        <v>619</v>
      </c>
      <c r="AG226" s="414" t="s">
        <v>506</v>
      </c>
      <c r="AH226" s="414" t="s">
        <v>623</v>
      </c>
    </row>
    <row r="227" spans="26:34">
      <c r="Z227" s="414" t="s">
        <v>579</v>
      </c>
      <c r="AA227" s="414" t="s">
        <v>452</v>
      </c>
      <c r="AB227" s="414" t="s">
        <v>559</v>
      </c>
      <c r="AC227" s="414" t="str">
        <f t="shared" si="3"/>
        <v>IcelandPlane - Long-haul - Economy</v>
      </c>
      <c r="AD227" s="414">
        <v>2023</v>
      </c>
      <c r="AE227" s="414">
        <v>0.22471828053691276</v>
      </c>
      <c r="AF227" s="414" t="s">
        <v>619</v>
      </c>
      <c r="AG227" s="414" t="s">
        <v>506</v>
      </c>
      <c r="AH227" s="414" t="s">
        <v>623</v>
      </c>
    </row>
    <row r="228" spans="26:34">
      <c r="Z228" s="414" t="s">
        <v>579</v>
      </c>
      <c r="AA228" s="414" t="s">
        <v>452</v>
      </c>
      <c r="AB228" s="414" t="s">
        <v>563</v>
      </c>
      <c r="AC228" s="414" t="str">
        <f t="shared" si="3"/>
        <v>IcelandPlane - Long-haul - Premium economy</v>
      </c>
      <c r="AD228" s="414">
        <v>2023</v>
      </c>
      <c r="AE228" s="414">
        <v>0.35952519328859062</v>
      </c>
      <c r="AF228" s="414" t="s">
        <v>619</v>
      </c>
      <c r="AG228" s="414" t="s">
        <v>506</v>
      </c>
      <c r="AH228" s="414" t="s">
        <v>623</v>
      </c>
    </row>
    <row r="229" spans="26:34">
      <c r="Z229" s="414" t="s">
        <v>579</v>
      </c>
      <c r="AA229" s="414" t="s">
        <v>452</v>
      </c>
      <c r="AB229" s="414" t="s">
        <v>568</v>
      </c>
      <c r="AC229" s="414" t="str">
        <f t="shared" si="3"/>
        <v>IcelandPlane - Long-haul - Business class</v>
      </c>
      <c r="AD229" s="414">
        <v>2023</v>
      </c>
      <c r="AE229" s="414">
        <v>0.6516569302013423</v>
      </c>
      <c r="AF229" s="414" t="s">
        <v>619</v>
      </c>
      <c r="AG229" s="414" t="s">
        <v>506</v>
      </c>
      <c r="AH229" s="414" t="s">
        <v>623</v>
      </c>
    </row>
    <row r="230" spans="26:34">
      <c r="Z230" s="414" t="s">
        <v>579</v>
      </c>
      <c r="AA230" s="414" t="s">
        <v>452</v>
      </c>
      <c r="AB230" s="414" t="s">
        <v>574</v>
      </c>
      <c r="AC230" s="414" t="str">
        <f t="shared" si="3"/>
        <v>IcelandPlane - Long-haul - First class</v>
      </c>
      <c r="AD230" s="414">
        <v>2023</v>
      </c>
      <c r="AE230" s="414">
        <v>0.89884302953020123</v>
      </c>
      <c r="AF230" s="414" t="s">
        <v>619</v>
      </c>
      <c r="AG230" s="414" t="s">
        <v>506</v>
      </c>
      <c r="AH230" s="414" t="s">
        <v>623</v>
      </c>
    </row>
    <row r="231" spans="26:34">
      <c r="Z231" s="414" t="s">
        <v>583</v>
      </c>
      <c r="AA231" s="414" t="s">
        <v>452</v>
      </c>
      <c r="AB231" s="414" t="s">
        <v>549</v>
      </c>
      <c r="AC231" s="414" t="str">
        <f t="shared" si="3"/>
        <v>IrelandPlane - Short-haul - Economy</v>
      </c>
      <c r="AD231" s="414">
        <v>2023</v>
      </c>
      <c r="AE231" s="414">
        <v>0.20535935436241612</v>
      </c>
      <c r="AF231" s="414" t="s">
        <v>619</v>
      </c>
      <c r="AG231" s="414" t="s">
        <v>506</v>
      </c>
      <c r="AH231" s="414" t="s">
        <v>623</v>
      </c>
    </row>
    <row r="232" spans="26:34">
      <c r="Z232" s="414" t="s">
        <v>583</v>
      </c>
      <c r="AA232" s="414" t="s">
        <v>452</v>
      </c>
      <c r="AB232" s="414" t="s">
        <v>554</v>
      </c>
      <c r="AC232" s="414" t="str">
        <f t="shared" si="3"/>
        <v>IrelandPlane - Short-haul - Business class</v>
      </c>
      <c r="AD232" s="414">
        <v>2023</v>
      </c>
      <c r="AE232" s="414">
        <v>0.30803287785234901</v>
      </c>
      <c r="AF232" s="414" t="s">
        <v>619</v>
      </c>
      <c r="AG232" s="414" t="s">
        <v>506</v>
      </c>
      <c r="AH232" s="414" t="s">
        <v>623</v>
      </c>
    </row>
    <row r="233" spans="26:34">
      <c r="Z233" s="414" t="s">
        <v>583</v>
      </c>
      <c r="AA233" s="414" t="s">
        <v>452</v>
      </c>
      <c r="AB233" s="414" t="s">
        <v>559</v>
      </c>
      <c r="AC233" s="414" t="str">
        <f t="shared" si="3"/>
        <v>IrelandPlane - Long-haul - Economy</v>
      </c>
      <c r="AD233" s="414">
        <v>2023</v>
      </c>
      <c r="AE233" s="414">
        <v>0.22471828053691276</v>
      </c>
      <c r="AF233" s="414" t="s">
        <v>619</v>
      </c>
      <c r="AG233" s="414" t="s">
        <v>506</v>
      </c>
      <c r="AH233" s="414" t="s">
        <v>623</v>
      </c>
    </row>
    <row r="234" spans="26:34">
      <c r="Z234" s="414" t="s">
        <v>583</v>
      </c>
      <c r="AA234" s="414" t="s">
        <v>452</v>
      </c>
      <c r="AB234" s="414" t="s">
        <v>563</v>
      </c>
      <c r="AC234" s="414" t="str">
        <f t="shared" si="3"/>
        <v>IrelandPlane - Long-haul - Premium economy</v>
      </c>
      <c r="AD234" s="414">
        <v>2023</v>
      </c>
      <c r="AE234" s="414">
        <v>0.35952519328859062</v>
      </c>
      <c r="AF234" s="414" t="s">
        <v>619</v>
      </c>
      <c r="AG234" s="414" t="s">
        <v>506</v>
      </c>
      <c r="AH234" s="414" t="s">
        <v>623</v>
      </c>
    </row>
    <row r="235" spans="26:34">
      <c r="Z235" s="414" t="s">
        <v>583</v>
      </c>
      <c r="AA235" s="414" t="s">
        <v>452</v>
      </c>
      <c r="AB235" s="414" t="s">
        <v>568</v>
      </c>
      <c r="AC235" s="414" t="str">
        <f t="shared" si="3"/>
        <v>IrelandPlane - Long-haul - Business class</v>
      </c>
      <c r="AD235" s="414">
        <v>2023</v>
      </c>
      <c r="AE235" s="414">
        <v>0.6516569302013423</v>
      </c>
      <c r="AF235" s="414" t="s">
        <v>619</v>
      </c>
      <c r="AG235" s="414" t="s">
        <v>506</v>
      </c>
      <c r="AH235" s="414" t="s">
        <v>623</v>
      </c>
    </row>
    <row r="236" spans="26:34">
      <c r="Z236" s="414" t="s">
        <v>583</v>
      </c>
      <c r="AA236" s="414" t="s">
        <v>452</v>
      </c>
      <c r="AB236" s="414" t="s">
        <v>574</v>
      </c>
      <c r="AC236" s="414" t="str">
        <f t="shared" si="3"/>
        <v>IrelandPlane - Long-haul - First class</v>
      </c>
      <c r="AD236" s="414">
        <v>2023</v>
      </c>
      <c r="AE236" s="414">
        <v>0.89884302953020123</v>
      </c>
      <c r="AF236" s="414" t="s">
        <v>619</v>
      </c>
      <c r="AG236" s="414" t="s">
        <v>506</v>
      </c>
      <c r="AH236" s="414" t="s">
        <v>623</v>
      </c>
    </row>
    <row r="237" spans="26:34">
      <c r="Z237" s="414" t="s">
        <v>585</v>
      </c>
      <c r="AA237" s="414" t="s">
        <v>452</v>
      </c>
      <c r="AB237" s="414" t="s">
        <v>549</v>
      </c>
      <c r="AC237" s="414" t="str">
        <f t="shared" si="3"/>
        <v>ItalyPlane - Short-haul - Economy</v>
      </c>
      <c r="AD237" s="414">
        <v>2023</v>
      </c>
      <c r="AE237" s="414">
        <v>0.20535935436241612</v>
      </c>
      <c r="AF237" s="414" t="s">
        <v>619</v>
      </c>
      <c r="AG237" s="414" t="s">
        <v>506</v>
      </c>
      <c r="AH237" s="414" t="s">
        <v>623</v>
      </c>
    </row>
    <row r="238" spans="26:34">
      <c r="Z238" s="414" t="s">
        <v>585</v>
      </c>
      <c r="AA238" s="414" t="s">
        <v>452</v>
      </c>
      <c r="AB238" s="414" t="s">
        <v>554</v>
      </c>
      <c r="AC238" s="414" t="str">
        <f t="shared" si="3"/>
        <v>ItalyPlane - Short-haul - Business class</v>
      </c>
      <c r="AD238" s="414">
        <v>2023</v>
      </c>
      <c r="AE238" s="414">
        <v>0.30803287785234901</v>
      </c>
      <c r="AF238" s="414" t="s">
        <v>619</v>
      </c>
      <c r="AG238" s="414" t="s">
        <v>506</v>
      </c>
      <c r="AH238" s="414" t="s">
        <v>623</v>
      </c>
    </row>
    <row r="239" spans="26:34">
      <c r="Z239" s="414" t="s">
        <v>585</v>
      </c>
      <c r="AA239" s="414" t="s">
        <v>452</v>
      </c>
      <c r="AB239" s="414" t="s">
        <v>559</v>
      </c>
      <c r="AC239" s="414" t="str">
        <f t="shared" si="3"/>
        <v>ItalyPlane - Long-haul - Economy</v>
      </c>
      <c r="AD239" s="414">
        <v>2023</v>
      </c>
      <c r="AE239" s="414">
        <v>0.22471828053691276</v>
      </c>
      <c r="AF239" s="414" t="s">
        <v>619</v>
      </c>
      <c r="AG239" s="414" t="s">
        <v>506</v>
      </c>
      <c r="AH239" s="414" t="s">
        <v>623</v>
      </c>
    </row>
    <row r="240" spans="26:34">
      <c r="Z240" s="414" t="s">
        <v>585</v>
      </c>
      <c r="AA240" s="414" t="s">
        <v>452</v>
      </c>
      <c r="AB240" s="414" t="s">
        <v>563</v>
      </c>
      <c r="AC240" s="414" t="str">
        <f t="shared" si="3"/>
        <v>ItalyPlane - Long-haul - Premium economy</v>
      </c>
      <c r="AD240" s="414">
        <v>2023</v>
      </c>
      <c r="AE240" s="414">
        <v>0.35952519328859062</v>
      </c>
      <c r="AF240" s="414" t="s">
        <v>619</v>
      </c>
      <c r="AG240" s="414" t="s">
        <v>506</v>
      </c>
      <c r="AH240" s="414" t="s">
        <v>623</v>
      </c>
    </row>
    <row r="241" spans="26:34">
      <c r="Z241" s="414" t="s">
        <v>585</v>
      </c>
      <c r="AA241" s="414" t="s">
        <v>452</v>
      </c>
      <c r="AB241" s="414" t="s">
        <v>568</v>
      </c>
      <c r="AC241" s="414" t="str">
        <f t="shared" si="3"/>
        <v>ItalyPlane - Long-haul - Business class</v>
      </c>
      <c r="AD241" s="414">
        <v>2023</v>
      </c>
      <c r="AE241" s="414">
        <v>0.6516569302013423</v>
      </c>
      <c r="AF241" s="414" t="s">
        <v>619</v>
      </c>
      <c r="AG241" s="414" t="s">
        <v>506</v>
      </c>
      <c r="AH241" s="414" t="s">
        <v>623</v>
      </c>
    </row>
    <row r="242" spans="26:34">
      <c r="Z242" s="414" t="s">
        <v>585</v>
      </c>
      <c r="AA242" s="414" t="s">
        <v>452</v>
      </c>
      <c r="AB242" s="414" t="s">
        <v>574</v>
      </c>
      <c r="AC242" s="414" t="str">
        <f t="shared" si="3"/>
        <v>ItalyPlane - Long-haul - First class</v>
      </c>
      <c r="AD242" s="414">
        <v>2023</v>
      </c>
      <c r="AE242" s="414">
        <v>0.89884302953020123</v>
      </c>
      <c r="AF242" s="414" t="s">
        <v>619</v>
      </c>
      <c r="AG242" s="414" t="s">
        <v>506</v>
      </c>
      <c r="AH242" s="414" t="s">
        <v>623</v>
      </c>
    </row>
    <row r="243" spans="26:34">
      <c r="Z243" s="414" t="s">
        <v>587</v>
      </c>
      <c r="AA243" s="414" t="s">
        <v>452</v>
      </c>
      <c r="AB243" s="414" t="s">
        <v>549</v>
      </c>
      <c r="AC243" s="414" t="str">
        <f t="shared" si="3"/>
        <v>LatviaPlane - Short-haul - Economy</v>
      </c>
      <c r="AD243" s="414">
        <v>2023</v>
      </c>
      <c r="AE243" s="414">
        <v>0.20535935436241612</v>
      </c>
      <c r="AF243" s="414" t="s">
        <v>619</v>
      </c>
      <c r="AG243" s="414" t="s">
        <v>506</v>
      </c>
      <c r="AH243" s="414" t="s">
        <v>623</v>
      </c>
    </row>
    <row r="244" spans="26:34">
      <c r="Z244" s="414" t="s">
        <v>587</v>
      </c>
      <c r="AA244" s="414" t="s">
        <v>452</v>
      </c>
      <c r="AB244" s="414" t="s">
        <v>554</v>
      </c>
      <c r="AC244" s="414" t="str">
        <f t="shared" si="3"/>
        <v>LatviaPlane - Short-haul - Business class</v>
      </c>
      <c r="AD244" s="414">
        <v>2023</v>
      </c>
      <c r="AE244" s="414">
        <v>0.30803287785234901</v>
      </c>
      <c r="AF244" s="414" t="s">
        <v>619</v>
      </c>
      <c r="AG244" s="414" t="s">
        <v>506</v>
      </c>
      <c r="AH244" s="414" t="s">
        <v>623</v>
      </c>
    </row>
    <row r="245" spans="26:34">
      <c r="Z245" s="414" t="s">
        <v>587</v>
      </c>
      <c r="AA245" s="414" t="s">
        <v>452</v>
      </c>
      <c r="AB245" s="414" t="s">
        <v>559</v>
      </c>
      <c r="AC245" s="414" t="str">
        <f t="shared" si="3"/>
        <v>LatviaPlane - Long-haul - Economy</v>
      </c>
      <c r="AD245" s="414">
        <v>2023</v>
      </c>
      <c r="AE245" s="414">
        <v>0.22471828053691276</v>
      </c>
      <c r="AF245" s="414" t="s">
        <v>619</v>
      </c>
      <c r="AG245" s="414" t="s">
        <v>506</v>
      </c>
      <c r="AH245" s="414" t="s">
        <v>623</v>
      </c>
    </row>
    <row r="246" spans="26:34">
      <c r="Z246" s="414" t="s">
        <v>587</v>
      </c>
      <c r="AA246" s="414" t="s">
        <v>452</v>
      </c>
      <c r="AB246" s="414" t="s">
        <v>563</v>
      </c>
      <c r="AC246" s="414" t="str">
        <f t="shared" si="3"/>
        <v>LatviaPlane - Long-haul - Premium economy</v>
      </c>
      <c r="AD246" s="414">
        <v>2023</v>
      </c>
      <c r="AE246" s="414">
        <v>0.35952519328859062</v>
      </c>
      <c r="AF246" s="414" t="s">
        <v>619</v>
      </c>
      <c r="AG246" s="414" t="s">
        <v>506</v>
      </c>
      <c r="AH246" s="414" t="s">
        <v>623</v>
      </c>
    </row>
    <row r="247" spans="26:34">
      <c r="Z247" s="414" t="s">
        <v>587</v>
      </c>
      <c r="AA247" s="414" t="s">
        <v>452</v>
      </c>
      <c r="AB247" s="414" t="s">
        <v>568</v>
      </c>
      <c r="AC247" s="414" t="str">
        <f t="shared" si="3"/>
        <v>LatviaPlane - Long-haul - Business class</v>
      </c>
      <c r="AD247" s="414">
        <v>2023</v>
      </c>
      <c r="AE247" s="414">
        <v>0.6516569302013423</v>
      </c>
      <c r="AF247" s="414" t="s">
        <v>619</v>
      </c>
      <c r="AG247" s="414" t="s">
        <v>506</v>
      </c>
      <c r="AH247" s="414" t="s">
        <v>623</v>
      </c>
    </row>
    <row r="248" spans="26:34">
      <c r="Z248" s="414" t="s">
        <v>587</v>
      </c>
      <c r="AA248" s="414" t="s">
        <v>452</v>
      </c>
      <c r="AB248" s="414" t="s">
        <v>574</v>
      </c>
      <c r="AC248" s="414" t="str">
        <f t="shared" si="3"/>
        <v>LatviaPlane - Long-haul - First class</v>
      </c>
      <c r="AD248" s="414">
        <v>2023</v>
      </c>
      <c r="AE248" s="414">
        <v>0.89884302953020123</v>
      </c>
      <c r="AF248" s="414" t="s">
        <v>619</v>
      </c>
      <c r="AG248" s="414" t="s">
        <v>506</v>
      </c>
      <c r="AH248" s="414" t="s">
        <v>623</v>
      </c>
    </row>
    <row r="249" spans="26:34">
      <c r="Z249" s="414" t="s">
        <v>589</v>
      </c>
      <c r="AA249" s="414" t="s">
        <v>452</v>
      </c>
      <c r="AB249" s="414" t="s">
        <v>549</v>
      </c>
      <c r="AC249" s="414" t="str">
        <f t="shared" si="3"/>
        <v>LiechtensteinPlane - Short-haul - Economy</v>
      </c>
      <c r="AD249" s="414">
        <v>2023</v>
      </c>
      <c r="AE249" s="414">
        <v>0.20535935436241612</v>
      </c>
      <c r="AF249" s="414" t="s">
        <v>619</v>
      </c>
      <c r="AG249" s="414" t="s">
        <v>506</v>
      </c>
      <c r="AH249" s="414" t="s">
        <v>623</v>
      </c>
    </row>
    <row r="250" spans="26:34">
      <c r="Z250" s="414" t="s">
        <v>589</v>
      </c>
      <c r="AA250" s="414" t="s">
        <v>452</v>
      </c>
      <c r="AB250" s="414" t="s">
        <v>554</v>
      </c>
      <c r="AC250" s="414" t="str">
        <f t="shared" si="3"/>
        <v>LiechtensteinPlane - Short-haul - Business class</v>
      </c>
      <c r="AD250" s="414">
        <v>2023</v>
      </c>
      <c r="AE250" s="414">
        <v>0.30803287785234901</v>
      </c>
      <c r="AF250" s="414" t="s">
        <v>619</v>
      </c>
      <c r="AG250" s="414" t="s">
        <v>506</v>
      </c>
      <c r="AH250" s="414" t="s">
        <v>623</v>
      </c>
    </row>
    <row r="251" spans="26:34">
      <c r="Z251" s="414" t="s">
        <v>589</v>
      </c>
      <c r="AA251" s="414" t="s">
        <v>452</v>
      </c>
      <c r="AB251" s="414" t="s">
        <v>559</v>
      </c>
      <c r="AC251" s="414" t="str">
        <f t="shared" si="3"/>
        <v>LiechtensteinPlane - Long-haul - Economy</v>
      </c>
      <c r="AD251" s="414">
        <v>2023</v>
      </c>
      <c r="AE251" s="414">
        <v>0.22471828053691276</v>
      </c>
      <c r="AF251" s="414" t="s">
        <v>619</v>
      </c>
      <c r="AG251" s="414" t="s">
        <v>506</v>
      </c>
      <c r="AH251" s="414" t="s">
        <v>623</v>
      </c>
    </row>
    <row r="252" spans="26:34">
      <c r="Z252" s="414" t="s">
        <v>589</v>
      </c>
      <c r="AA252" s="414" t="s">
        <v>452</v>
      </c>
      <c r="AB252" s="414" t="s">
        <v>563</v>
      </c>
      <c r="AC252" s="414" t="str">
        <f t="shared" si="3"/>
        <v>LiechtensteinPlane - Long-haul - Premium economy</v>
      </c>
      <c r="AD252" s="414">
        <v>2023</v>
      </c>
      <c r="AE252" s="414">
        <v>0.35952519328859062</v>
      </c>
      <c r="AF252" s="414" t="s">
        <v>619</v>
      </c>
      <c r="AG252" s="414" t="s">
        <v>506</v>
      </c>
      <c r="AH252" s="414" t="s">
        <v>623</v>
      </c>
    </row>
    <row r="253" spans="26:34">
      <c r="Z253" s="414" t="s">
        <v>589</v>
      </c>
      <c r="AA253" s="414" t="s">
        <v>452</v>
      </c>
      <c r="AB253" s="414" t="s">
        <v>568</v>
      </c>
      <c r="AC253" s="414" t="str">
        <f t="shared" si="3"/>
        <v>LiechtensteinPlane - Long-haul - Business class</v>
      </c>
      <c r="AD253" s="414">
        <v>2023</v>
      </c>
      <c r="AE253" s="414">
        <v>0.6516569302013423</v>
      </c>
      <c r="AF253" s="414" t="s">
        <v>619</v>
      </c>
      <c r="AG253" s="414" t="s">
        <v>506</v>
      </c>
      <c r="AH253" s="414" t="s">
        <v>623</v>
      </c>
    </row>
    <row r="254" spans="26:34">
      <c r="Z254" s="414" t="s">
        <v>589</v>
      </c>
      <c r="AA254" s="414" t="s">
        <v>452</v>
      </c>
      <c r="AB254" s="414" t="s">
        <v>574</v>
      </c>
      <c r="AC254" s="414" t="str">
        <f t="shared" si="3"/>
        <v>LiechtensteinPlane - Long-haul - First class</v>
      </c>
      <c r="AD254" s="414">
        <v>2023</v>
      </c>
      <c r="AE254" s="414">
        <v>0.89884302953020123</v>
      </c>
      <c r="AF254" s="414" t="s">
        <v>619</v>
      </c>
      <c r="AG254" s="414" t="s">
        <v>506</v>
      </c>
      <c r="AH254" s="414" t="s">
        <v>623</v>
      </c>
    </row>
    <row r="255" spans="26:34">
      <c r="Z255" s="414" t="s">
        <v>591</v>
      </c>
      <c r="AA255" s="414" t="s">
        <v>452</v>
      </c>
      <c r="AB255" s="414" t="s">
        <v>549</v>
      </c>
      <c r="AC255" s="414" t="str">
        <f t="shared" si="3"/>
        <v>LithuaniaPlane - Short-haul - Economy</v>
      </c>
      <c r="AD255" s="414">
        <v>2023</v>
      </c>
      <c r="AE255" s="414">
        <v>0.20535935436241612</v>
      </c>
      <c r="AF255" s="414" t="s">
        <v>619</v>
      </c>
      <c r="AG255" s="414" t="s">
        <v>506</v>
      </c>
      <c r="AH255" s="414" t="s">
        <v>623</v>
      </c>
    </row>
    <row r="256" spans="26:34">
      <c r="Z256" s="414" t="s">
        <v>591</v>
      </c>
      <c r="AA256" s="414" t="s">
        <v>452</v>
      </c>
      <c r="AB256" s="414" t="s">
        <v>554</v>
      </c>
      <c r="AC256" s="414" t="str">
        <f t="shared" si="3"/>
        <v>LithuaniaPlane - Short-haul - Business class</v>
      </c>
      <c r="AD256" s="414">
        <v>2023</v>
      </c>
      <c r="AE256" s="414">
        <v>0.30803287785234901</v>
      </c>
      <c r="AF256" s="414" t="s">
        <v>619</v>
      </c>
      <c r="AG256" s="414" t="s">
        <v>506</v>
      </c>
      <c r="AH256" s="414" t="s">
        <v>623</v>
      </c>
    </row>
    <row r="257" spans="26:34">
      <c r="Z257" s="414" t="s">
        <v>591</v>
      </c>
      <c r="AA257" s="414" t="s">
        <v>452</v>
      </c>
      <c r="AB257" s="414" t="s">
        <v>559</v>
      </c>
      <c r="AC257" s="414" t="str">
        <f t="shared" si="3"/>
        <v>LithuaniaPlane - Long-haul - Economy</v>
      </c>
      <c r="AD257" s="414">
        <v>2023</v>
      </c>
      <c r="AE257" s="414">
        <v>0.22471828053691276</v>
      </c>
      <c r="AF257" s="414" t="s">
        <v>619</v>
      </c>
      <c r="AG257" s="414" t="s">
        <v>506</v>
      </c>
      <c r="AH257" s="414" t="s">
        <v>623</v>
      </c>
    </row>
    <row r="258" spans="26:34">
      <c r="Z258" s="414" t="s">
        <v>591</v>
      </c>
      <c r="AA258" s="414" t="s">
        <v>452</v>
      </c>
      <c r="AB258" s="414" t="s">
        <v>563</v>
      </c>
      <c r="AC258" s="414" t="str">
        <f t="shared" si="3"/>
        <v>LithuaniaPlane - Long-haul - Premium economy</v>
      </c>
      <c r="AD258" s="414">
        <v>2023</v>
      </c>
      <c r="AE258" s="414">
        <v>0.35952519328859062</v>
      </c>
      <c r="AF258" s="414" t="s">
        <v>619</v>
      </c>
      <c r="AG258" s="414" t="s">
        <v>506</v>
      </c>
      <c r="AH258" s="414" t="s">
        <v>623</v>
      </c>
    </row>
    <row r="259" spans="26:34">
      <c r="Z259" s="414" t="s">
        <v>591</v>
      </c>
      <c r="AA259" s="414" t="s">
        <v>452</v>
      </c>
      <c r="AB259" s="414" t="s">
        <v>568</v>
      </c>
      <c r="AC259" s="414" t="str">
        <f t="shared" ref="AC259:AC322" si="4">Z259&amp;AB259</f>
        <v>LithuaniaPlane - Long-haul - Business class</v>
      </c>
      <c r="AD259" s="414">
        <v>2023</v>
      </c>
      <c r="AE259" s="414">
        <v>0.6516569302013423</v>
      </c>
      <c r="AF259" s="414" t="s">
        <v>619</v>
      </c>
      <c r="AG259" s="414" t="s">
        <v>506</v>
      </c>
      <c r="AH259" s="414" t="s">
        <v>623</v>
      </c>
    </row>
    <row r="260" spans="26:34">
      <c r="Z260" s="414" t="s">
        <v>591</v>
      </c>
      <c r="AA260" s="414" t="s">
        <v>452</v>
      </c>
      <c r="AB260" s="414" t="s">
        <v>574</v>
      </c>
      <c r="AC260" s="414" t="str">
        <f t="shared" si="4"/>
        <v>LithuaniaPlane - Long-haul - First class</v>
      </c>
      <c r="AD260" s="414">
        <v>2023</v>
      </c>
      <c r="AE260" s="414">
        <v>0.89884302953020123</v>
      </c>
      <c r="AF260" s="414" t="s">
        <v>619</v>
      </c>
      <c r="AG260" s="414" t="s">
        <v>506</v>
      </c>
      <c r="AH260" s="414" t="s">
        <v>623</v>
      </c>
    </row>
    <row r="261" spans="26:34">
      <c r="Z261" s="414" t="s">
        <v>594</v>
      </c>
      <c r="AA261" s="414" t="s">
        <v>452</v>
      </c>
      <c r="AB261" s="414" t="s">
        <v>549</v>
      </c>
      <c r="AC261" s="414" t="str">
        <f t="shared" si="4"/>
        <v>LuxembourgPlane - Short-haul - Economy</v>
      </c>
      <c r="AD261" s="414">
        <v>2023</v>
      </c>
      <c r="AE261" s="414">
        <v>0.20535935436241612</v>
      </c>
      <c r="AF261" s="414" t="s">
        <v>619</v>
      </c>
      <c r="AG261" s="414" t="s">
        <v>506</v>
      </c>
      <c r="AH261" s="414" t="s">
        <v>623</v>
      </c>
    </row>
    <row r="262" spans="26:34">
      <c r="Z262" s="414" t="s">
        <v>594</v>
      </c>
      <c r="AA262" s="414" t="s">
        <v>452</v>
      </c>
      <c r="AB262" s="414" t="s">
        <v>554</v>
      </c>
      <c r="AC262" s="414" t="str">
        <f t="shared" si="4"/>
        <v>LuxembourgPlane - Short-haul - Business class</v>
      </c>
      <c r="AD262" s="414">
        <v>2023</v>
      </c>
      <c r="AE262" s="414">
        <v>0.30803287785234901</v>
      </c>
      <c r="AF262" s="414" t="s">
        <v>619</v>
      </c>
      <c r="AG262" s="414" t="s">
        <v>506</v>
      </c>
      <c r="AH262" s="414" t="s">
        <v>623</v>
      </c>
    </row>
    <row r="263" spans="26:34">
      <c r="Z263" s="414" t="s">
        <v>594</v>
      </c>
      <c r="AA263" s="414" t="s">
        <v>452</v>
      </c>
      <c r="AB263" s="414" t="s">
        <v>559</v>
      </c>
      <c r="AC263" s="414" t="str">
        <f t="shared" si="4"/>
        <v>LuxembourgPlane - Long-haul - Economy</v>
      </c>
      <c r="AD263" s="414">
        <v>2023</v>
      </c>
      <c r="AE263" s="414">
        <v>0.22471828053691276</v>
      </c>
      <c r="AF263" s="414" t="s">
        <v>619</v>
      </c>
      <c r="AG263" s="414" t="s">
        <v>506</v>
      </c>
      <c r="AH263" s="414" t="s">
        <v>623</v>
      </c>
    </row>
    <row r="264" spans="26:34">
      <c r="Z264" s="414" t="s">
        <v>594</v>
      </c>
      <c r="AA264" s="414" t="s">
        <v>452</v>
      </c>
      <c r="AB264" s="414" t="s">
        <v>563</v>
      </c>
      <c r="AC264" s="414" t="str">
        <f t="shared" si="4"/>
        <v>LuxembourgPlane - Long-haul - Premium economy</v>
      </c>
      <c r="AD264" s="414">
        <v>2023</v>
      </c>
      <c r="AE264" s="414">
        <v>0.35952519328859062</v>
      </c>
      <c r="AF264" s="414" t="s">
        <v>619</v>
      </c>
      <c r="AG264" s="414" t="s">
        <v>506</v>
      </c>
      <c r="AH264" s="414" t="s">
        <v>623</v>
      </c>
    </row>
    <row r="265" spans="26:34">
      <c r="Z265" s="414" t="s">
        <v>594</v>
      </c>
      <c r="AA265" s="414" t="s">
        <v>452</v>
      </c>
      <c r="AB265" s="414" t="s">
        <v>568</v>
      </c>
      <c r="AC265" s="414" t="str">
        <f t="shared" si="4"/>
        <v>LuxembourgPlane - Long-haul - Business class</v>
      </c>
      <c r="AD265" s="414">
        <v>2023</v>
      </c>
      <c r="AE265" s="414">
        <v>0.6516569302013423</v>
      </c>
      <c r="AF265" s="414" t="s">
        <v>619</v>
      </c>
      <c r="AG265" s="414" t="s">
        <v>506</v>
      </c>
      <c r="AH265" s="414" t="s">
        <v>623</v>
      </c>
    </row>
    <row r="266" spans="26:34">
      <c r="Z266" s="414" t="s">
        <v>594</v>
      </c>
      <c r="AA266" s="414" t="s">
        <v>452</v>
      </c>
      <c r="AB266" s="414" t="s">
        <v>574</v>
      </c>
      <c r="AC266" s="414" t="str">
        <f t="shared" si="4"/>
        <v>LuxembourgPlane - Long-haul - First class</v>
      </c>
      <c r="AD266" s="414">
        <v>2023</v>
      </c>
      <c r="AE266" s="414">
        <v>0.89884302953020123</v>
      </c>
      <c r="AF266" s="414" t="s">
        <v>619</v>
      </c>
      <c r="AG266" s="414" t="s">
        <v>506</v>
      </c>
      <c r="AH266" s="414" t="s">
        <v>623</v>
      </c>
    </row>
    <row r="267" spans="26:34">
      <c r="Z267" s="414" t="s">
        <v>596</v>
      </c>
      <c r="AA267" s="414" t="s">
        <v>452</v>
      </c>
      <c r="AB267" s="414" t="s">
        <v>549</v>
      </c>
      <c r="AC267" s="414" t="str">
        <f t="shared" si="4"/>
        <v>MaltaPlane - Short-haul - Economy</v>
      </c>
      <c r="AD267" s="414">
        <v>2023</v>
      </c>
      <c r="AE267" s="414">
        <v>0.20535935436241612</v>
      </c>
      <c r="AF267" s="414" t="s">
        <v>619</v>
      </c>
      <c r="AG267" s="414" t="s">
        <v>506</v>
      </c>
      <c r="AH267" s="414" t="s">
        <v>623</v>
      </c>
    </row>
    <row r="268" spans="26:34">
      <c r="Z268" s="414" t="s">
        <v>596</v>
      </c>
      <c r="AA268" s="414" t="s">
        <v>452</v>
      </c>
      <c r="AB268" s="414" t="s">
        <v>554</v>
      </c>
      <c r="AC268" s="414" t="str">
        <f t="shared" si="4"/>
        <v>MaltaPlane - Short-haul - Business class</v>
      </c>
      <c r="AD268" s="414">
        <v>2023</v>
      </c>
      <c r="AE268" s="414">
        <v>0.30803287785234901</v>
      </c>
      <c r="AF268" s="414" t="s">
        <v>619</v>
      </c>
      <c r="AG268" s="414" t="s">
        <v>506</v>
      </c>
      <c r="AH268" s="414" t="s">
        <v>623</v>
      </c>
    </row>
    <row r="269" spans="26:34">
      <c r="Z269" s="414" t="s">
        <v>596</v>
      </c>
      <c r="AA269" s="414" t="s">
        <v>452</v>
      </c>
      <c r="AB269" s="414" t="s">
        <v>559</v>
      </c>
      <c r="AC269" s="414" t="str">
        <f t="shared" si="4"/>
        <v>MaltaPlane - Long-haul - Economy</v>
      </c>
      <c r="AD269" s="414">
        <v>2023</v>
      </c>
      <c r="AE269" s="414">
        <v>0.22471828053691276</v>
      </c>
      <c r="AF269" s="414" t="s">
        <v>619</v>
      </c>
      <c r="AG269" s="414" t="s">
        <v>506</v>
      </c>
      <c r="AH269" s="414" t="s">
        <v>623</v>
      </c>
    </row>
    <row r="270" spans="26:34">
      <c r="Z270" s="414" t="s">
        <v>596</v>
      </c>
      <c r="AA270" s="414" t="s">
        <v>452</v>
      </c>
      <c r="AB270" s="414" t="s">
        <v>563</v>
      </c>
      <c r="AC270" s="414" t="str">
        <f t="shared" si="4"/>
        <v>MaltaPlane - Long-haul - Premium economy</v>
      </c>
      <c r="AD270" s="414">
        <v>2023</v>
      </c>
      <c r="AE270" s="414">
        <v>0.35952519328859062</v>
      </c>
      <c r="AF270" s="414" t="s">
        <v>619</v>
      </c>
      <c r="AG270" s="414" t="s">
        <v>506</v>
      </c>
      <c r="AH270" s="414" t="s">
        <v>623</v>
      </c>
    </row>
    <row r="271" spans="26:34">
      <c r="Z271" s="414" t="s">
        <v>596</v>
      </c>
      <c r="AA271" s="414" t="s">
        <v>452</v>
      </c>
      <c r="AB271" s="414" t="s">
        <v>568</v>
      </c>
      <c r="AC271" s="414" t="str">
        <f t="shared" si="4"/>
        <v>MaltaPlane - Long-haul - Business class</v>
      </c>
      <c r="AD271" s="414">
        <v>2023</v>
      </c>
      <c r="AE271" s="414">
        <v>0.6516569302013423</v>
      </c>
      <c r="AF271" s="414" t="s">
        <v>619</v>
      </c>
      <c r="AG271" s="414" t="s">
        <v>506</v>
      </c>
      <c r="AH271" s="414" t="s">
        <v>623</v>
      </c>
    </row>
    <row r="272" spans="26:34">
      <c r="Z272" s="414" t="s">
        <v>596</v>
      </c>
      <c r="AA272" s="414" t="s">
        <v>452</v>
      </c>
      <c r="AB272" s="414" t="s">
        <v>574</v>
      </c>
      <c r="AC272" s="414" t="str">
        <f t="shared" si="4"/>
        <v>MaltaPlane - Long-haul - First class</v>
      </c>
      <c r="AD272" s="414">
        <v>2023</v>
      </c>
      <c r="AE272" s="414">
        <v>0.89884302953020123</v>
      </c>
      <c r="AF272" s="414" t="s">
        <v>619</v>
      </c>
      <c r="AG272" s="414" t="s">
        <v>506</v>
      </c>
      <c r="AH272" s="414" t="s">
        <v>623</v>
      </c>
    </row>
    <row r="273" spans="26:34">
      <c r="Z273" s="414" t="s">
        <v>598</v>
      </c>
      <c r="AA273" s="414" t="s">
        <v>452</v>
      </c>
      <c r="AB273" s="414" t="s">
        <v>549</v>
      </c>
      <c r="AC273" s="414" t="str">
        <f t="shared" si="4"/>
        <v>MoldovaPlane - Short-haul - Economy</v>
      </c>
      <c r="AD273" s="414">
        <v>2023</v>
      </c>
      <c r="AE273" s="414">
        <v>0.20535935436241612</v>
      </c>
      <c r="AF273" s="414" t="s">
        <v>619</v>
      </c>
      <c r="AG273" s="414" t="s">
        <v>506</v>
      </c>
      <c r="AH273" s="414" t="s">
        <v>623</v>
      </c>
    </row>
    <row r="274" spans="26:34">
      <c r="Z274" s="414" t="s">
        <v>598</v>
      </c>
      <c r="AA274" s="414" t="s">
        <v>452</v>
      </c>
      <c r="AB274" s="414" t="s">
        <v>554</v>
      </c>
      <c r="AC274" s="414" t="str">
        <f t="shared" si="4"/>
        <v>MoldovaPlane - Short-haul - Business class</v>
      </c>
      <c r="AD274" s="414">
        <v>2023</v>
      </c>
      <c r="AE274" s="414">
        <v>0.30803287785234901</v>
      </c>
      <c r="AF274" s="414" t="s">
        <v>619</v>
      </c>
      <c r="AG274" s="414" t="s">
        <v>506</v>
      </c>
      <c r="AH274" s="414" t="s">
        <v>623</v>
      </c>
    </row>
    <row r="275" spans="26:34">
      <c r="Z275" s="414" t="s">
        <v>598</v>
      </c>
      <c r="AA275" s="414" t="s">
        <v>452</v>
      </c>
      <c r="AB275" s="414" t="s">
        <v>559</v>
      </c>
      <c r="AC275" s="414" t="str">
        <f t="shared" si="4"/>
        <v>MoldovaPlane - Long-haul - Economy</v>
      </c>
      <c r="AD275" s="414">
        <v>2023</v>
      </c>
      <c r="AE275" s="414">
        <v>0.22471828053691276</v>
      </c>
      <c r="AF275" s="414" t="s">
        <v>619</v>
      </c>
      <c r="AG275" s="414" t="s">
        <v>506</v>
      </c>
      <c r="AH275" s="414" t="s">
        <v>623</v>
      </c>
    </row>
    <row r="276" spans="26:34">
      <c r="Z276" s="414" t="s">
        <v>598</v>
      </c>
      <c r="AA276" s="414" t="s">
        <v>452</v>
      </c>
      <c r="AB276" s="414" t="s">
        <v>563</v>
      </c>
      <c r="AC276" s="414" t="str">
        <f t="shared" si="4"/>
        <v>MoldovaPlane - Long-haul - Premium economy</v>
      </c>
      <c r="AD276" s="414">
        <v>2023</v>
      </c>
      <c r="AE276" s="414">
        <v>0.35952519328859062</v>
      </c>
      <c r="AF276" s="414" t="s">
        <v>619</v>
      </c>
      <c r="AG276" s="414" t="s">
        <v>506</v>
      </c>
      <c r="AH276" s="414" t="s">
        <v>623</v>
      </c>
    </row>
    <row r="277" spans="26:34">
      <c r="Z277" s="414" t="s">
        <v>598</v>
      </c>
      <c r="AA277" s="414" t="s">
        <v>452</v>
      </c>
      <c r="AB277" s="414" t="s">
        <v>568</v>
      </c>
      <c r="AC277" s="414" t="str">
        <f t="shared" si="4"/>
        <v>MoldovaPlane - Long-haul - Business class</v>
      </c>
      <c r="AD277" s="414">
        <v>2023</v>
      </c>
      <c r="AE277" s="414">
        <v>0.6516569302013423</v>
      </c>
      <c r="AF277" s="414" t="s">
        <v>619</v>
      </c>
      <c r="AG277" s="414" t="s">
        <v>506</v>
      </c>
      <c r="AH277" s="414" t="s">
        <v>623</v>
      </c>
    </row>
    <row r="278" spans="26:34">
      <c r="Z278" s="414" t="s">
        <v>598</v>
      </c>
      <c r="AA278" s="414" t="s">
        <v>452</v>
      </c>
      <c r="AB278" s="414" t="s">
        <v>574</v>
      </c>
      <c r="AC278" s="414" t="str">
        <f t="shared" si="4"/>
        <v>MoldovaPlane - Long-haul - First class</v>
      </c>
      <c r="AD278" s="414">
        <v>2023</v>
      </c>
      <c r="AE278" s="414">
        <v>0.89884302953020123</v>
      </c>
      <c r="AF278" s="414" t="s">
        <v>619</v>
      </c>
      <c r="AG278" s="414" t="s">
        <v>506</v>
      </c>
      <c r="AH278" s="414" t="s">
        <v>623</v>
      </c>
    </row>
    <row r="279" spans="26:34">
      <c r="Z279" s="414" t="s">
        <v>600</v>
      </c>
      <c r="AA279" s="414" t="s">
        <v>452</v>
      </c>
      <c r="AB279" s="414" t="s">
        <v>549</v>
      </c>
      <c r="AC279" s="414" t="str">
        <f t="shared" si="4"/>
        <v>MonacoPlane - Short-haul - Economy</v>
      </c>
      <c r="AD279" s="414">
        <v>2023</v>
      </c>
      <c r="AE279" s="414">
        <v>0.20535935436241612</v>
      </c>
      <c r="AF279" s="414" t="s">
        <v>619</v>
      </c>
      <c r="AG279" s="414" t="s">
        <v>506</v>
      </c>
      <c r="AH279" s="414" t="s">
        <v>623</v>
      </c>
    </row>
    <row r="280" spans="26:34">
      <c r="Z280" s="414" t="s">
        <v>600</v>
      </c>
      <c r="AA280" s="414" t="s">
        <v>452</v>
      </c>
      <c r="AB280" s="414" t="s">
        <v>554</v>
      </c>
      <c r="AC280" s="414" t="str">
        <f t="shared" si="4"/>
        <v>MonacoPlane - Short-haul - Business class</v>
      </c>
      <c r="AD280" s="414">
        <v>2023</v>
      </c>
      <c r="AE280" s="414">
        <v>0.30803287785234901</v>
      </c>
      <c r="AF280" s="414" t="s">
        <v>619</v>
      </c>
      <c r="AG280" s="414" t="s">
        <v>506</v>
      </c>
      <c r="AH280" s="414" t="s">
        <v>623</v>
      </c>
    </row>
    <row r="281" spans="26:34">
      <c r="Z281" s="414" t="s">
        <v>600</v>
      </c>
      <c r="AA281" s="414" t="s">
        <v>452</v>
      </c>
      <c r="AB281" s="414" t="s">
        <v>559</v>
      </c>
      <c r="AC281" s="414" t="str">
        <f t="shared" si="4"/>
        <v>MonacoPlane - Long-haul - Economy</v>
      </c>
      <c r="AD281" s="414">
        <v>2023</v>
      </c>
      <c r="AE281" s="414">
        <v>0.22471828053691276</v>
      </c>
      <c r="AF281" s="414" t="s">
        <v>619</v>
      </c>
      <c r="AG281" s="414" t="s">
        <v>506</v>
      </c>
      <c r="AH281" s="414" t="s">
        <v>623</v>
      </c>
    </row>
    <row r="282" spans="26:34">
      <c r="Z282" s="414" t="s">
        <v>600</v>
      </c>
      <c r="AA282" s="414" t="s">
        <v>452</v>
      </c>
      <c r="AB282" s="414" t="s">
        <v>563</v>
      </c>
      <c r="AC282" s="414" t="str">
        <f t="shared" si="4"/>
        <v>MonacoPlane - Long-haul - Premium economy</v>
      </c>
      <c r="AD282" s="414">
        <v>2023</v>
      </c>
      <c r="AE282" s="414">
        <v>0.35952519328859062</v>
      </c>
      <c r="AF282" s="414" t="s">
        <v>619</v>
      </c>
      <c r="AG282" s="414" t="s">
        <v>506</v>
      </c>
      <c r="AH282" s="414" t="s">
        <v>623</v>
      </c>
    </row>
    <row r="283" spans="26:34">
      <c r="Z283" s="414" t="s">
        <v>600</v>
      </c>
      <c r="AA283" s="414" t="s">
        <v>452</v>
      </c>
      <c r="AB283" s="414" t="s">
        <v>568</v>
      </c>
      <c r="AC283" s="414" t="str">
        <f t="shared" si="4"/>
        <v>MonacoPlane - Long-haul - Business class</v>
      </c>
      <c r="AD283" s="414">
        <v>2023</v>
      </c>
      <c r="AE283" s="414">
        <v>0.6516569302013423</v>
      </c>
      <c r="AF283" s="414" t="s">
        <v>619</v>
      </c>
      <c r="AG283" s="414" t="s">
        <v>506</v>
      </c>
      <c r="AH283" s="414" t="s">
        <v>623</v>
      </c>
    </row>
    <row r="284" spans="26:34">
      <c r="Z284" s="414" t="s">
        <v>600</v>
      </c>
      <c r="AA284" s="414" t="s">
        <v>452</v>
      </c>
      <c r="AB284" s="414" t="s">
        <v>574</v>
      </c>
      <c r="AC284" s="414" t="str">
        <f t="shared" si="4"/>
        <v>MonacoPlane - Long-haul - First class</v>
      </c>
      <c r="AD284" s="414">
        <v>2023</v>
      </c>
      <c r="AE284" s="414">
        <v>0.89884302953020123</v>
      </c>
      <c r="AF284" s="414" t="s">
        <v>619</v>
      </c>
      <c r="AG284" s="414" t="s">
        <v>506</v>
      </c>
      <c r="AH284" s="414" t="s">
        <v>623</v>
      </c>
    </row>
    <row r="285" spans="26:34">
      <c r="Z285" s="414" t="s">
        <v>602</v>
      </c>
      <c r="AA285" s="414" t="s">
        <v>452</v>
      </c>
      <c r="AB285" s="414" t="s">
        <v>549</v>
      </c>
      <c r="AC285" s="414" t="str">
        <f t="shared" si="4"/>
        <v>MontenegroPlane - Short-haul - Economy</v>
      </c>
      <c r="AD285" s="414">
        <v>2023</v>
      </c>
      <c r="AE285" s="414">
        <v>0.20535935436241612</v>
      </c>
      <c r="AF285" s="414" t="s">
        <v>619</v>
      </c>
      <c r="AG285" s="414" t="s">
        <v>506</v>
      </c>
      <c r="AH285" s="414" t="s">
        <v>623</v>
      </c>
    </row>
    <row r="286" spans="26:34">
      <c r="Z286" s="414" t="s">
        <v>602</v>
      </c>
      <c r="AA286" s="414" t="s">
        <v>452</v>
      </c>
      <c r="AB286" s="414" t="s">
        <v>554</v>
      </c>
      <c r="AC286" s="414" t="str">
        <f t="shared" si="4"/>
        <v>MontenegroPlane - Short-haul - Business class</v>
      </c>
      <c r="AD286" s="414">
        <v>2023</v>
      </c>
      <c r="AE286" s="414">
        <v>0.30803287785234901</v>
      </c>
      <c r="AF286" s="414" t="s">
        <v>619</v>
      </c>
      <c r="AG286" s="414" t="s">
        <v>506</v>
      </c>
      <c r="AH286" s="414" t="s">
        <v>623</v>
      </c>
    </row>
    <row r="287" spans="26:34">
      <c r="Z287" s="414" t="s">
        <v>602</v>
      </c>
      <c r="AA287" s="414" t="s">
        <v>452</v>
      </c>
      <c r="AB287" s="414" t="s">
        <v>559</v>
      </c>
      <c r="AC287" s="414" t="str">
        <f t="shared" si="4"/>
        <v>MontenegroPlane - Long-haul - Economy</v>
      </c>
      <c r="AD287" s="414">
        <v>2023</v>
      </c>
      <c r="AE287" s="414">
        <v>0.22471828053691276</v>
      </c>
      <c r="AF287" s="414" t="s">
        <v>619</v>
      </c>
      <c r="AG287" s="414" t="s">
        <v>506</v>
      </c>
      <c r="AH287" s="414" t="s">
        <v>623</v>
      </c>
    </row>
    <row r="288" spans="26:34">
      <c r="Z288" s="414" t="s">
        <v>602</v>
      </c>
      <c r="AA288" s="414" t="s">
        <v>452</v>
      </c>
      <c r="AB288" s="414" t="s">
        <v>563</v>
      </c>
      <c r="AC288" s="414" t="str">
        <f t="shared" si="4"/>
        <v>MontenegroPlane - Long-haul - Premium economy</v>
      </c>
      <c r="AD288" s="414">
        <v>2023</v>
      </c>
      <c r="AE288" s="414">
        <v>0.35952519328859062</v>
      </c>
      <c r="AF288" s="414" t="s">
        <v>619</v>
      </c>
      <c r="AG288" s="414" t="s">
        <v>506</v>
      </c>
      <c r="AH288" s="414" t="s">
        <v>623</v>
      </c>
    </row>
    <row r="289" spans="26:34">
      <c r="Z289" s="414" t="s">
        <v>602</v>
      </c>
      <c r="AA289" s="414" t="s">
        <v>452</v>
      </c>
      <c r="AB289" s="414" t="s">
        <v>568</v>
      </c>
      <c r="AC289" s="414" t="str">
        <f t="shared" si="4"/>
        <v>MontenegroPlane - Long-haul - Business class</v>
      </c>
      <c r="AD289" s="414">
        <v>2023</v>
      </c>
      <c r="AE289" s="414">
        <v>0.6516569302013423</v>
      </c>
      <c r="AF289" s="414" t="s">
        <v>619</v>
      </c>
      <c r="AG289" s="414" t="s">
        <v>506</v>
      </c>
      <c r="AH289" s="414" t="s">
        <v>623</v>
      </c>
    </row>
    <row r="290" spans="26:34">
      <c r="Z290" s="414" t="s">
        <v>602</v>
      </c>
      <c r="AA290" s="414" t="s">
        <v>452</v>
      </c>
      <c r="AB290" s="414" t="s">
        <v>574</v>
      </c>
      <c r="AC290" s="414" t="str">
        <f t="shared" si="4"/>
        <v>MontenegroPlane - Long-haul - First class</v>
      </c>
      <c r="AD290" s="414">
        <v>2023</v>
      </c>
      <c r="AE290" s="414">
        <v>0.89884302953020123</v>
      </c>
      <c r="AF290" s="414" t="s">
        <v>619</v>
      </c>
      <c r="AG290" s="414" t="s">
        <v>506</v>
      </c>
      <c r="AH290" s="414" t="s">
        <v>623</v>
      </c>
    </row>
    <row r="291" spans="26:34">
      <c r="Z291" s="414" t="s">
        <v>603</v>
      </c>
      <c r="AA291" s="414" t="s">
        <v>452</v>
      </c>
      <c r="AB291" s="414" t="s">
        <v>549</v>
      </c>
      <c r="AC291" s="414" t="str">
        <f t="shared" si="4"/>
        <v>NetherlandsPlane - Short-haul - Economy</v>
      </c>
      <c r="AD291" s="414">
        <v>2023</v>
      </c>
      <c r="AE291" s="414">
        <v>0.20535935436241612</v>
      </c>
      <c r="AF291" s="414" t="s">
        <v>619</v>
      </c>
      <c r="AG291" s="414" t="s">
        <v>506</v>
      </c>
      <c r="AH291" s="414" t="s">
        <v>623</v>
      </c>
    </row>
    <row r="292" spans="26:34">
      <c r="Z292" s="414" t="s">
        <v>603</v>
      </c>
      <c r="AA292" s="414" t="s">
        <v>452</v>
      </c>
      <c r="AB292" s="414" t="s">
        <v>554</v>
      </c>
      <c r="AC292" s="414" t="str">
        <f t="shared" si="4"/>
        <v>NetherlandsPlane - Short-haul - Business class</v>
      </c>
      <c r="AD292" s="414">
        <v>2023</v>
      </c>
      <c r="AE292" s="414">
        <v>0.30803287785234901</v>
      </c>
      <c r="AF292" s="414" t="s">
        <v>619</v>
      </c>
      <c r="AG292" s="414" t="s">
        <v>506</v>
      </c>
      <c r="AH292" s="414" t="s">
        <v>623</v>
      </c>
    </row>
    <row r="293" spans="26:34">
      <c r="Z293" s="414" t="s">
        <v>603</v>
      </c>
      <c r="AA293" s="414" t="s">
        <v>452</v>
      </c>
      <c r="AB293" s="414" t="s">
        <v>559</v>
      </c>
      <c r="AC293" s="414" t="str">
        <f t="shared" si="4"/>
        <v>NetherlandsPlane - Long-haul - Economy</v>
      </c>
      <c r="AD293" s="414">
        <v>2023</v>
      </c>
      <c r="AE293" s="414">
        <v>0.22471828053691276</v>
      </c>
      <c r="AF293" s="414" t="s">
        <v>619</v>
      </c>
      <c r="AG293" s="414" t="s">
        <v>506</v>
      </c>
      <c r="AH293" s="414" t="s">
        <v>623</v>
      </c>
    </row>
    <row r="294" spans="26:34">
      <c r="Z294" s="414" t="s">
        <v>603</v>
      </c>
      <c r="AA294" s="414" t="s">
        <v>452</v>
      </c>
      <c r="AB294" s="414" t="s">
        <v>563</v>
      </c>
      <c r="AC294" s="414" t="str">
        <f t="shared" si="4"/>
        <v>NetherlandsPlane - Long-haul - Premium economy</v>
      </c>
      <c r="AD294" s="414">
        <v>2023</v>
      </c>
      <c r="AE294" s="414">
        <v>0.35952519328859062</v>
      </c>
      <c r="AF294" s="414" t="s">
        <v>619</v>
      </c>
      <c r="AG294" s="414" t="s">
        <v>506</v>
      </c>
      <c r="AH294" s="414" t="s">
        <v>623</v>
      </c>
    </row>
    <row r="295" spans="26:34">
      <c r="Z295" s="414" t="s">
        <v>603</v>
      </c>
      <c r="AA295" s="414" t="s">
        <v>452</v>
      </c>
      <c r="AB295" s="414" t="s">
        <v>568</v>
      </c>
      <c r="AC295" s="414" t="str">
        <f t="shared" si="4"/>
        <v>NetherlandsPlane - Long-haul - Business class</v>
      </c>
      <c r="AD295" s="414">
        <v>2023</v>
      </c>
      <c r="AE295" s="414">
        <v>0.6516569302013423</v>
      </c>
      <c r="AF295" s="414" t="s">
        <v>619</v>
      </c>
      <c r="AG295" s="414" t="s">
        <v>506</v>
      </c>
      <c r="AH295" s="414" t="s">
        <v>623</v>
      </c>
    </row>
    <row r="296" spans="26:34">
      <c r="Z296" s="414" t="s">
        <v>603</v>
      </c>
      <c r="AA296" s="414" t="s">
        <v>452</v>
      </c>
      <c r="AB296" s="414" t="s">
        <v>574</v>
      </c>
      <c r="AC296" s="414" t="str">
        <f t="shared" si="4"/>
        <v>NetherlandsPlane - Long-haul - First class</v>
      </c>
      <c r="AD296" s="414">
        <v>2023</v>
      </c>
      <c r="AE296" s="414">
        <v>0.89884302953020123</v>
      </c>
      <c r="AF296" s="414" t="s">
        <v>619</v>
      </c>
      <c r="AG296" s="414" t="s">
        <v>506</v>
      </c>
      <c r="AH296" s="414" t="s">
        <v>623</v>
      </c>
    </row>
    <row r="297" spans="26:34">
      <c r="Z297" s="414" t="s">
        <v>605</v>
      </c>
      <c r="AA297" s="414" t="s">
        <v>452</v>
      </c>
      <c r="AB297" s="414" t="s">
        <v>549</v>
      </c>
      <c r="AC297" s="414" t="str">
        <f t="shared" si="4"/>
        <v>North MacedoniaPlane - Short-haul - Economy</v>
      </c>
      <c r="AD297" s="414">
        <v>2023</v>
      </c>
      <c r="AE297" s="414">
        <v>0.20535935436241612</v>
      </c>
      <c r="AF297" s="414" t="s">
        <v>619</v>
      </c>
      <c r="AG297" s="414" t="s">
        <v>506</v>
      </c>
      <c r="AH297" s="414" t="s">
        <v>623</v>
      </c>
    </row>
    <row r="298" spans="26:34">
      <c r="Z298" s="414" t="s">
        <v>605</v>
      </c>
      <c r="AA298" s="414" t="s">
        <v>452</v>
      </c>
      <c r="AB298" s="414" t="s">
        <v>554</v>
      </c>
      <c r="AC298" s="414" t="str">
        <f t="shared" si="4"/>
        <v>North MacedoniaPlane - Short-haul - Business class</v>
      </c>
      <c r="AD298" s="414">
        <v>2023</v>
      </c>
      <c r="AE298" s="414">
        <v>0.30803287785234901</v>
      </c>
      <c r="AF298" s="414" t="s">
        <v>619</v>
      </c>
      <c r="AG298" s="414" t="s">
        <v>506</v>
      </c>
      <c r="AH298" s="414" t="s">
        <v>623</v>
      </c>
    </row>
    <row r="299" spans="26:34">
      <c r="Z299" s="414" t="s">
        <v>605</v>
      </c>
      <c r="AA299" s="414" t="s">
        <v>452</v>
      </c>
      <c r="AB299" s="414" t="s">
        <v>559</v>
      </c>
      <c r="AC299" s="414" t="str">
        <f t="shared" si="4"/>
        <v>North MacedoniaPlane - Long-haul - Economy</v>
      </c>
      <c r="AD299" s="414">
        <v>2023</v>
      </c>
      <c r="AE299" s="414">
        <v>0.22471828053691276</v>
      </c>
      <c r="AF299" s="414" t="s">
        <v>619</v>
      </c>
      <c r="AG299" s="414" t="s">
        <v>506</v>
      </c>
      <c r="AH299" s="414" t="s">
        <v>623</v>
      </c>
    </row>
    <row r="300" spans="26:34">
      <c r="Z300" s="414" t="s">
        <v>605</v>
      </c>
      <c r="AA300" s="414" t="s">
        <v>452</v>
      </c>
      <c r="AB300" s="414" t="s">
        <v>563</v>
      </c>
      <c r="AC300" s="414" t="str">
        <f t="shared" si="4"/>
        <v>North MacedoniaPlane - Long-haul - Premium economy</v>
      </c>
      <c r="AD300" s="414">
        <v>2023</v>
      </c>
      <c r="AE300" s="414">
        <v>0.35952519328859062</v>
      </c>
      <c r="AF300" s="414" t="s">
        <v>619</v>
      </c>
      <c r="AG300" s="414" t="s">
        <v>506</v>
      </c>
      <c r="AH300" s="414" t="s">
        <v>623</v>
      </c>
    </row>
    <row r="301" spans="26:34">
      <c r="Z301" s="414" t="s">
        <v>605</v>
      </c>
      <c r="AA301" s="414" t="s">
        <v>452</v>
      </c>
      <c r="AB301" s="414" t="s">
        <v>568</v>
      </c>
      <c r="AC301" s="414" t="str">
        <f t="shared" si="4"/>
        <v>North MacedoniaPlane - Long-haul - Business class</v>
      </c>
      <c r="AD301" s="414">
        <v>2023</v>
      </c>
      <c r="AE301" s="414">
        <v>0.6516569302013423</v>
      </c>
      <c r="AF301" s="414" t="s">
        <v>619</v>
      </c>
      <c r="AG301" s="414" t="s">
        <v>506</v>
      </c>
      <c r="AH301" s="414" t="s">
        <v>623</v>
      </c>
    </row>
    <row r="302" spans="26:34">
      <c r="Z302" s="414" t="s">
        <v>605</v>
      </c>
      <c r="AA302" s="414" t="s">
        <v>452</v>
      </c>
      <c r="AB302" s="414" t="s">
        <v>574</v>
      </c>
      <c r="AC302" s="414" t="str">
        <f t="shared" si="4"/>
        <v>North MacedoniaPlane - Long-haul - First class</v>
      </c>
      <c r="AD302" s="414">
        <v>2023</v>
      </c>
      <c r="AE302" s="414">
        <v>0.89884302953020123</v>
      </c>
      <c r="AF302" s="414" t="s">
        <v>619</v>
      </c>
      <c r="AG302" s="414" t="s">
        <v>506</v>
      </c>
      <c r="AH302" s="414" t="s">
        <v>623</v>
      </c>
    </row>
    <row r="303" spans="26:34">
      <c r="Z303" s="414" t="s">
        <v>606</v>
      </c>
      <c r="AA303" s="414" t="s">
        <v>452</v>
      </c>
      <c r="AB303" s="414" t="s">
        <v>549</v>
      </c>
      <c r="AC303" s="414" t="str">
        <f t="shared" si="4"/>
        <v>NorwayPlane - Short-haul - Economy</v>
      </c>
      <c r="AD303" s="414">
        <v>2023</v>
      </c>
      <c r="AE303" s="414">
        <v>0.20535935436241612</v>
      </c>
      <c r="AF303" s="414" t="s">
        <v>619</v>
      </c>
      <c r="AG303" s="414" t="s">
        <v>506</v>
      </c>
      <c r="AH303" s="414" t="s">
        <v>623</v>
      </c>
    </row>
    <row r="304" spans="26:34">
      <c r="Z304" s="414" t="s">
        <v>606</v>
      </c>
      <c r="AA304" s="414" t="s">
        <v>452</v>
      </c>
      <c r="AB304" s="414" t="s">
        <v>554</v>
      </c>
      <c r="AC304" s="414" t="str">
        <f t="shared" si="4"/>
        <v>NorwayPlane - Short-haul - Business class</v>
      </c>
      <c r="AD304" s="414">
        <v>2023</v>
      </c>
      <c r="AE304" s="414">
        <v>0.30803287785234901</v>
      </c>
      <c r="AF304" s="414" t="s">
        <v>619</v>
      </c>
      <c r="AG304" s="414" t="s">
        <v>506</v>
      </c>
      <c r="AH304" s="414" t="s">
        <v>623</v>
      </c>
    </row>
    <row r="305" spans="26:34">
      <c r="Z305" s="414" t="s">
        <v>606</v>
      </c>
      <c r="AA305" s="414" t="s">
        <v>452</v>
      </c>
      <c r="AB305" s="414" t="s">
        <v>559</v>
      </c>
      <c r="AC305" s="414" t="str">
        <f t="shared" si="4"/>
        <v>NorwayPlane - Long-haul - Economy</v>
      </c>
      <c r="AD305" s="414">
        <v>2023</v>
      </c>
      <c r="AE305" s="414">
        <v>0.22471828053691276</v>
      </c>
      <c r="AF305" s="414" t="s">
        <v>619</v>
      </c>
      <c r="AG305" s="414" t="s">
        <v>506</v>
      </c>
      <c r="AH305" s="414" t="s">
        <v>623</v>
      </c>
    </row>
    <row r="306" spans="26:34">
      <c r="Z306" s="414" t="s">
        <v>606</v>
      </c>
      <c r="AA306" s="414" t="s">
        <v>452</v>
      </c>
      <c r="AB306" s="414" t="s">
        <v>563</v>
      </c>
      <c r="AC306" s="414" t="str">
        <f t="shared" si="4"/>
        <v>NorwayPlane - Long-haul - Premium economy</v>
      </c>
      <c r="AD306" s="414">
        <v>2023</v>
      </c>
      <c r="AE306" s="414">
        <v>0.35952519328859062</v>
      </c>
      <c r="AF306" s="414" t="s">
        <v>619</v>
      </c>
      <c r="AG306" s="414" t="s">
        <v>506</v>
      </c>
      <c r="AH306" s="414" t="s">
        <v>623</v>
      </c>
    </row>
    <row r="307" spans="26:34">
      <c r="Z307" s="414" t="s">
        <v>606</v>
      </c>
      <c r="AA307" s="414" t="s">
        <v>452</v>
      </c>
      <c r="AB307" s="414" t="s">
        <v>568</v>
      </c>
      <c r="AC307" s="414" t="str">
        <f t="shared" si="4"/>
        <v>NorwayPlane - Long-haul - Business class</v>
      </c>
      <c r="AD307" s="414">
        <v>2023</v>
      </c>
      <c r="AE307" s="414">
        <v>0.6516569302013423</v>
      </c>
      <c r="AF307" s="414" t="s">
        <v>619</v>
      </c>
      <c r="AG307" s="414" t="s">
        <v>506</v>
      </c>
      <c r="AH307" s="414" t="s">
        <v>623</v>
      </c>
    </row>
    <row r="308" spans="26:34">
      <c r="Z308" s="414" t="s">
        <v>606</v>
      </c>
      <c r="AA308" s="414" t="s">
        <v>452</v>
      </c>
      <c r="AB308" s="414" t="s">
        <v>574</v>
      </c>
      <c r="AC308" s="414" t="str">
        <f t="shared" si="4"/>
        <v>NorwayPlane - Long-haul - First class</v>
      </c>
      <c r="AD308" s="414">
        <v>2023</v>
      </c>
      <c r="AE308" s="414">
        <v>0.89884302953020123</v>
      </c>
      <c r="AF308" s="414" t="s">
        <v>619</v>
      </c>
      <c r="AG308" s="414" t="s">
        <v>506</v>
      </c>
      <c r="AH308" s="414" t="s">
        <v>623</v>
      </c>
    </row>
    <row r="309" spans="26:34">
      <c r="Z309" s="414" t="s">
        <v>607</v>
      </c>
      <c r="AA309" s="414" t="s">
        <v>452</v>
      </c>
      <c r="AB309" s="414" t="s">
        <v>549</v>
      </c>
      <c r="AC309" s="414" t="str">
        <f t="shared" si="4"/>
        <v>PolandPlane - Short-haul - Economy</v>
      </c>
      <c r="AD309" s="414">
        <v>2023</v>
      </c>
      <c r="AE309" s="414">
        <v>0.20535935436241612</v>
      </c>
      <c r="AF309" s="414" t="s">
        <v>619</v>
      </c>
      <c r="AG309" s="414" t="s">
        <v>506</v>
      </c>
      <c r="AH309" s="414" t="s">
        <v>623</v>
      </c>
    </row>
    <row r="310" spans="26:34">
      <c r="Z310" s="414" t="s">
        <v>607</v>
      </c>
      <c r="AA310" s="414" t="s">
        <v>452</v>
      </c>
      <c r="AB310" s="414" t="s">
        <v>554</v>
      </c>
      <c r="AC310" s="414" t="str">
        <f t="shared" si="4"/>
        <v>PolandPlane - Short-haul - Business class</v>
      </c>
      <c r="AD310" s="414">
        <v>2023</v>
      </c>
      <c r="AE310" s="414">
        <v>0.30803287785234901</v>
      </c>
      <c r="AF310" s="414" t="s">
        <v>619</v>
      </c>
      <c r="AG310" s="414" t="s">
        <v>506</v>
      </c>
      <c r="AH310" s="414" t="s">
        <v>623</v>
      </c>
    </row>
    <row r="311" spans="26:34">
      <c r="Z311" s="414" t="s">
        <v>607</v>
      </c>
      <c r="AA311" s="414" t="s">
        <v>452</v>
      </c>
      <c r="AB311" s="414" t="s">
        <v>559</v>
      </c>
      <c r="AC311" s="414" t="str">
        <f t="shared" si="4"/>
        <v>PolandPlane - Long-haul - Economy</v>
      </c>
      <c r="AD311" s="414">
        <v>2023</v>
      </c>
      <c r="AE311" s="414">
        <v>0.22471828053691276</v>
      </c>
      <c r="AF311" s="414" t="s">
        <v>619</v>
      </c>
      <c r="AG311" s="414" t="s">
        <v>506</v>
      </c>
      <c r="AH311" s="414" t="s">
        <v>623</v>
      </c>
    </row>
    <row r="312" spans="26:34">
      <c r="Z312" s="414" t="s">
        <v>607</v>
      </c>
      <c r="AA312" s="414" t="s">
        <v>452</v>
      </c>
      <c r="AB312" s="414" t="s">
        <v>563</v>
      </c>
      <c r="AC312" s="414" t="str">
        <f t="shared" si="4"/>
        <v>PolandPlane - Long-haul - Premium economy</v>
      </c>
      <c r="AD312" s="414">
        <v>2023</v>
      </c>
      <c r="AE312" s="414">
        <v>0.35952519328859062</v>
      </c>
      <c r="AF312" s="414" t="s">
        <v>619</v>
      </c>
      <c r="AG312" s="414" t="s">
        <v>506</v>
      </c>
      <c r="AH312" s="414" t="s">
        <v>623</v>
      </c>
    </row>
    <row r="313" spans="26:34">
      <c r="Z313" s="414" t="s">
        <v>607</v>
      </c>
      <c r="AA313" s="414" t="s">
        <v>452</v>
      </c>
      <c r="AB313" s="414" t="s">
        <v>568</v>
      </c>
      <c r="AC313" s="414" t="str">
        <f t="shared" si="4"/>
        <v>PolandPlane - Long-haul - Business class</v>
      </c>
      <c r="AD313" s="414">
        <v>2023</v>
      </c>
      <c r="AE313" s="414">
        <v>0.6516569302013423</v>
      </c>
      <c r="AF313" s="414" t="s">
        <v>619</v>
      </c>
      <c r="AG313" s="414" t="s">
        <v>506</v>
      </c>
      <c r="AH313" s="414" t="s">
        <v>623</v>
      </c>
    </row>
    <row r="314" spans="26:34">
      <c r="Z314" s="414" t="s">
        <v>607</v>
      </c>
      <c r="AA314" s="414" t="s">
        <v>452</v>
      </c>
      <c r="AB314" s="414" t="s">
        <v>574</v>
      </c>
      <c r="AC314" s="414" t="str">
        <f t="shared" si="4"/>
        <v>PolandPlane - Long-haul - First class</v>
      </c>
      <c r="AD314" s="414">
        <v>2023</v>
      </c>
      <c r="AE314" s="414">
        <v>0.89884302953020123</v>
      </c>
      <c r="AF314" s="414" t="s">
        <v>619</v>
      </c>
      <c r="AG314" s="414" t="s">
        <v>506</v>
      </c>
      <c r="AH314" s="414" t="s">
        <v>623</v>
      </c>
    </row>
    <row r="315" spans="26:34">
      <c r="Z315" s="414" t="s">
        <v>608</v>
      </c>
      <c r="AA315" s="414" t="s">
        <v>452</v>
      </c>
      <c r="AB315" s="414" t="s">
        <v>549</v>
      </c>
      <c r="AC315" s="414" t="str">
        <f t="shared" si="4"/>
        <v>PortugalPlane - Short-haul - Economy</v>
      </c>
      <c r="AD315" s="414">
        <v>2023</v>
      </c>
      <c r="AE315" s="414">
        <v>0.20535935436241612</v>
      </c>
      <c r="AF315" s="414" t="s">
        <v>619</v>
      </c>
      <c r="AG315" s="414" t="s">
        <v>506</v>
      </c>
      <c r="AH315" s="414" t="s">
        <v>623</v>
      </c>
    </row>
    <row r="316" spans="26:34">
      <c r="Z316" s="414" t="s">
        <v>608</v>
      </c>
      <c r="AA316" s="414" t="s">
        <v>452</v>
      </c>
      <c r="AB316" s="414" t="s">
        <v>554</v>
      </c>
      <c r="AC316" s="414" t="str">
        <f t="shared" si="4"/>
        <v>PortugalPlane - Short-haul - Business class</v>
      </c>
      <c r="AD316" s="414">
        <v>2023</v>
      </c>
      <c r="AE316" s="414">
        <v>0.30803287785234901</v>
      </c>
      <c r="AF316" s="414" t="s">
        <v>619</v>
      </c>
      <c r="AG316" s="414" t="s">
        <v>506</v>
      </c>
      <c r="AH316" s="414" t="s">
        <v>623</v>
      </c>
    </row>
    <row r="317" spans="26:34">
      <c r="Z317" s="414" t="s">
        <v>608</v>
      </c>
      <c r="AA317" s="414" t="s">
        <v>452</v>
      </c>
      <c r="AB317" s="414" t="s">
        <v>559</v>
      </c>
      <c r="AC317" s="414" t="str">
        <f t="shared" si="4"/>
        <v>PortugalPlane - Long-haul - Economy</v>
      </c>
      <c r="AD317" s="414">
        <v>2023</v>
      </c>
      <c r="AE317" s="414">
        <v>0.22471828053691276</v>
      </c>
      <c r="AF317" s="414" t="s">
        <v>619</v>
      </c>
      <c r="AG317" s="414" t="s">
        <v>506</v>
      </c>
      <c r="AH317" s="414" t="s">
        <v>623</v>
      </c>
    </row>
    <row r="318" spans="26:34">
      <c r="Z318" s="414" t="s">
        <v>608</v>
      </c>
      <c r="AA318" s="414" t="s">
        <v>452</v>
      </c>
      <c r="AB318" s="414" t="s">
        <v>563</v>
      </c>
      <c r="AC318" s="414" t="str">
        <f t="shared" si="4"/>
        <v>PortugalPlane - Long-haul - Premium economy</v>
      </c>
      <c r="AD318" s="414">
        <v>2023</v>
      </c>
      <c r="AE318" s="414">
        <v>0.35952519328859062</v>
      </c>
      <c r="AF318" s="414" t="s">
        <v>619</v>
      </c>
      <c r="AG318" s="414" t="s">
        <v>506</v>
      </c>
      <c r="AH318" s="414" t="s">
        <v>623</v>
      </c>
    </row>
    <row r="319" spans="26:34">
      <c r="Z319" s="414" t="s">
        <v>608</v>
      </c>
      <c r="AA319" s="414" t="s">
        <v>452</v>
      </c>
      <c r="AB319" s="414" t="s">
        <v>568</v>
      </c>
      <c r="AC319" s="414" t="str">
        <f t="shared" si="4"/>
        <v>PortugalPlane - Long-haul - Business class</v>
      </c>
      <c r="AD319" s="414">
        <v>2023</v>
      </c>
      <c r="AE319" s="414">
        <v>0.6516569302013423</v>
      </c>
      <c r="AF319" s="414" t="s">
        <v>619</v>
      </c>
      <c r="AG319" s="414" t="s">
        <v>506</v>
      </c>
      <c r="AH319" s="414" t="s">
        <v>623</v>
      </c>
    </row>
    <row r="320" spans="26:34">
      <c r="Z320" s="414" t="s">
        <v>608</v>
      </c>
      <c r="AA320" s="414" t="s">
        <v>452</v>
      </c>
      <c r="AB320" s="414" t="s">
        <v>574</v>
      </c>
      <c r="AC320" s="414" t="str">
        <f t="shared" si="4"/>
        <v>PortugalPlane - Long-haul - First class</v>
      </c>
      <c r="AD320" s="414">
        <v>2023</v>
      </c>
      <c r="AE320" s="414">
        <v>0.89884302953020123</v>
      </c>
      <c r="AF320" s="414" t="s">
        <v>619</v>
      </c>
      <c r="AG320" s="414" t="s">
        <v>506</v>
      </c>
      <c r="AH320" s="414" t="s">
        <v>623</v>
      </c>
    </row>
    <row r="321" spans="26:34">
      <c r="Z321" s="414" t="s">
        <v>609</v>
      </c>
      <c r="AA321" s="414" t="s">
        <v>452</v>
      </c>
      <c r="AB321" s="414" t="s">
        <v>549</v>
      </c>
      <c r="AC321" s="414" t="str">
        <f t="shared" si="4"/>
        <v>RomaniaPlane - Short-haul - Economy</v>
      </c>
      <c r="AD321" s="414">
        <v>2023</v>
      </c>
      <c r="AE321" s="414">
        <v>0.20535935436241612</v>
      </c>
      <c r="AF321" s="414" t="s">
        <v>619</v>
      </c>
      <c r="AG321" s="414" t="s">
        <v>506</v>
      </c>
      <c r="AH321" s="414" t="s">
        <v>623</v>
      </c>
    </row>
    <row r="322" spans="26:34">
      <c r="Z322" s="414" t="s">
        <v>609</v>
      </c>
      <c r="AA322" s="414" t="s">
        <v>452</v>
      </c>
      <c r="AB322" s="414" t="s">
        <v>554</v>
      </c>
      <c r="AC322" s="414" t="str">
        <f t="shared" si="4"/>
        <v>RomaniaPlane - Short-haul - Business class</v>
      </c>
      <c r="AD322" s="414">
        <v>2023</v>
      </c>
      <c r="AE322" s="414">
        <v>0.30803287785234901</v>
      </c>
      <c r="AF322" s="414" t="s">
        <v>619</v>
      </c>
      <c r="AG322" s="414" t="s">
        <v>506</v>
      </c>
      <c r="AH322" s="414" t="s">
        <v>623</v>
      </c>
    </row>
    <row r="323" spans="26:34">
      <c r="Z323" s="414" t="s">
        <v>609</v>
      </c>
      <c r="AA323" s="414" t="s">
        <v>452</v>
      </c>
      <c r="AB323" s="414" t="s">
        <v>559</v>
      </c>
      <c r="AC323" s="414" t="str">
        <f t="shared" ref="AC323:AC386" si="5">Z323&amp;AB323</f>
        <v>RomaniaPlane - Long-haul - Economy</v>
      </c>
      <c r="AD323" s="414">
        <v>2023</v>
      </c>
      <c r="AE323" s="414">
        <v>0.22471828053691276</v>
      </c>
      <c r="AF323" s="414" t="s">
        <v>619</v>
      </c>
      <c r="AG323" s="414" t="s">
        <v>506</v>
      </c>
      <c r="AH323" s="414" t="s">
        <v>623</v>
      </c>
    </row>
    <row r="324" spans="26:34">
      <c r="Z324" s="414" t="s">
        <v>609</v>
      </c>
      <c r="AA324" s="414" t="s">
        <v>452</v>
      </c>
      <c r="AB324" s="414" t="s">
        <v>563</v>
      </c>
      <c r="AC324" s="414" t="str">
        <f t="shared" si="5"/>
        <v>RomaniaPlane - Long-haul - Premium economy</v>
      </c>
      <c r="AD324" s="414">
        <v>2023</v>
      </c>
      <c r="AE324" s="414">
        <v>0.35952519328859062</v>
      </c>
      <c r="AF324" s="414" t="s">
        <v>619</v>
      </c>
      <c r="AG324" s="414" t="s">
        <v>506</v>
      </c>
      <c r="AH324" s="414" t="s">
        <v>623</v>
      </c>
    </row>
    <row r="325" spans="26:34">
      <c r="Z325" s="414" t="s">
        <v>609</v>
      </c>
      <c r="AA325" s="414" t="s">
        <v>452</v>
      </c>
      <c r="AB325" s="414" t="s">
        <v>568</v>
      </c>
      <c r="AC325" s="414" t="str">
        <f t="shared" si="5"/>
        <v>RomaniaPlane - Long-haul - Business class</v>
      </c>
      <c r="AD325" s="414">
        <v>2023</v>
      </c>
      <c r="AE325" s="414">
        <v>0.6516569302013423</v>
      </c>
      <c r="AF325" s="414" t="s">
        <v>619</v>
      </c>
      <c r="AG325" s="414" t="s">
        <v>506</v>
      </c>
      <c r="AH325" s="414" t="s">
        <v>623</v>
      </c>
    </row>
    <row r="326" spans="26:34">
      <c r="Z326" s="414" t="s">
        <v>609</v>
      </c>
      <c r="AA326" s="414" t="s">
        <v>452</v>
      </c>
      <c r="AB326" s="414" t="s">
        <v>574</v>
      </c>
      <c r="AC326" s="414" t="str">
        <f t="shared" si="5"/>
        <v>RomaniaPlane - Long-haul - First class</v>
      </c>
      <c r="AD326" s="414">
        <v>2023</v>
      </c>
      <c r="AE326" s="414">
        <v>0.89884302953020123</v>
      </c>
      <c r="AF326" s="414" t="s">
        <v>619</v>
      </c>
      <c r="AG326" s="414" t="s">
        <v>506</v>
      </c>
      <c r="AH326" s="414" t="s">
        <v>623</v>
      </c>
    </row>
    <row r="327" spans="26:34">
      <c r="Z327" s="414" t="s">
        <v>610</v>
      </c>
      <c r="AA327" s="414" t="s">
        <v>452</v>
      </c>
      <c r="AB327" s="414" t="s">
        <v>549</v>
      </c>
      <c r="AC327" s="414" t="str">
        <f t="shared" si="5"/>
        <v>San MarinoPlane - Short-haul - Economy</v>
      </c>
      <c r="AD327" s="414">
        <v>2023</v>
      </c>
      <c r="AE327" s="414">
        <v>0.20535935436241612</v>
      </c>
      <c r="AF327" s="414" t="s">
        <v>619</v>
      </c>
      <c r="AG327" s="414" t="s">
        <v>506</v>
      </c>
      <c r="AH327" s="414" t="s">
        <v>623</v>
      </c>
    </row>
    <row r="328" spans="26:34">
      <c r="Z328" s="414" t="s">
        <v>610</v>
      </c>
      <c r="AA328" s="414" t="s">
        <v>452</v>
      </c>
      <c r="AB328" s="414" t="s">
        <v>554</v>
      </c>
      <c r="AC328" s="414" t="str">
        <f t="shared" si="5"/>
        <v>San MarinoPlane - Short-haul - Business class</v>
      </c>
      <c r="AD328" s="414">
        <v>2023</v>
      </c>
      <c r="AE328" s="414">
        <v>0.30803287785234901</v>
      </c>
      <c r="AF328" s="414" t="s">
        <v>619</v>
      </c>
      <c r="AG328" s="414" t="s">
        <v>506</v>
      </c>
      <c r="AH328" s="414" t="s">
        <v>623</v>
      </c>
    </row>
    <row r="329" spans="26:34">
      <c r="Z329" s="414" t="s">
        <v>610</v>
      </c>
      <c r="AA329" s="414" t="s">
        <v>452</v>
      </c>
      <c r="AB329" s="414" t="s">
        <v>559</v>
      </c>
      <c r="AC329" s="414" t="str">
        <f t="shared" si="5"/>
        <v>San MarinoPlane - Long-haul - Economy</v>
      </c>
      <c r="AD329" s="414">
        <v>2023</v>
      </c>
      <c r="AE329" s="414">
        <v>0.22471828053691276</v>
      </c>
      <c r="AF329" s="414" t="s">
        <v>619</v>
      </c>
      <c r="AG329" s="414" t="s">
        <v>506</v>
      </c>
      <c r="AH329" s="414" t="s">
        <v>623</v>
      </c>
    </row>
    <row r="330" spans="26:34">
      <c r="Z330" s="414" t="s">
        <v>610</v>
      </c>
      <c r="AA330" s="414" t="s">
        <v>452</v>
      </c>
      <c r="AB330" s="414" t="s">
        <v>563</v>
      </c>
      <c r="AC330" s="414" t="str">
        <f t="shared" si="5"/>
        <v>San MarinoPlane - Long-haul - Premium economy</v>
      </c>
      <c r="AD330" s="414">
        <v>2023</v>
      </c>
      <c r="AE330" s="414">
        <v>0.35952519328859062</v>
      </c>
      <c r="AF330" s="414" t="s">
        <v>619</v>
      </c>
      <c r="AG330" s="414" t="s">
        <v>506</v>
      </c>
      <c r="AH330" s="414" t="s">
        <v>623</v>
      </c>
    </row>
    <row r="331" spans="26:34">
      <c r="Z331" s="414" t="s">
        <v>610</v>
      </c>
      <c r="AA331" s="414" t="s">
        <v>452</v>
      </c>
      <c r="AB331" s="414" t="s">
        <v>568</v>
      </c>
      <c r="AC331" s="414" t="str">
        <f t="shared" si="5"/>
        <v>San MarinoPlane - Long-haul - Business class</v>
      </c>
      <c r="AD331" s="414">
        <v>2023</v>
      </c>
      <c r="AE331" s="414">
        <v>0.6516569302013423</v>
      </c>
      <c r="AF331" s="414" t="s">
        <v>619</v>
      </c>
      <c r="AG331" s="414" t="s">
        <v>506</v>
      </c>
      <c r="AH331" s="414" t="s">
        <v>623</v>
      </c>
    </row>
    <row r="332" spans="26:34">
      <c r="Z332" s="414" t="s">
        <v>610</v>
      </c>
      <c r="AA332" s="414" t="s">
        <v>452</v>
      </c>
      <c r="AB332" s="414" t="s">
        <v>574</v>
      </c>
      <c r="AC332" s="414" t="str">
        <f t="shared" si="5"/>
        <v>San MarinoPlane - Long-haul - First class</v>
      </c>
      <c r="AD332" s="414">
        <v>2023</v>
      </c>
      <c r="AE332" s="414">
        <v>0.89884302953020123</v>
      </c>
      <c r="AF332" s="414" t="s">
        <v>619</v>
      </c>
      <c r="AG332" s="414" t="s">
        <v>506</v>
      </c>
      <c r="AH332" s="414" t="s">
        <v>623</v>
      </c>
    </row>
    <row r="333" spans="26:34">
      <c r="Z333" s="414" t="s">
        <v>611</v>
      </c>
      <c r="AA333" s="414" t="s">
        <v>452</v>
      </c>
      <c r="AB333" s="414" t="s">
        <v>549</v>
      </c>
      <c r="AC333" s="414" t="str">
        <f t="shared" si="5"/>
        <v>SerbiaPlane - Short-haul - Economy</v>
      </c>
      <c r="AD333" s="414">
        <v>2023</v>
      </c>
      <c r="AE333" s="414">
        <v>0.20535935436241612</v>
      </c>
      <c r="AF333" s="414" t="s">
        <v>619</v>
      </c>
      <c r="AG333" s="414" t="s">
        <v>506</v>
      </c>
      <c r="AH333" s="414" t="s">
        <v>623</v>
      </c>
    </row>
    <row r="334" spans="26:34">
      <c r="Z334" s="414" t="s">
        <v>611</v>
      </c>
      <c r="AA334" s="414" t="s">
        <v>452</v>
      </c>
      <c r="AB334" s="414" t="s">
        <v>554</v>
      </c>
      <c r="AC334" s="414" t="str">
        <f t="shared" si="5"/>
        <v>SerbiaPlane - Short-haul - Business class</v>
      </c>
      <c r="AD334" s="414">
        <v>2023</v>
      </c>
      <c r="AE334" s="414">
        <v>0.30803287785234901</v>
      </c>
      <c r="AF334" s="414" t="s">
        <v>619</v>
      </c>
      <c r="AG334" s="414" t="s">
        <v>506</v>
      </c>
      <c r="AH334" s="414" t="s">
        <v>623</v>
      </c>
    </row>
    <row r="335" spans="26:34">
      <c r="Z335" s="414" t="s">
        <v>611</v>
      </c>
      <c r="AA335" s="414" t="s">
        <v>452</v>
      </c>
      <c r="AB335" s="414" t="s">
        <v>559</v>
      </c>
      <c r="AC335" s="414" t="str">
        <f t="shared" si="5"/>
        <v>SerbiaPlane - Long-haul - Economy</v>
      </c>
      <c r="AD335" s="414">
        <v>2023</v>
      </c>
      <c r="AE335" s="414">
        <v>0.22471828053691276</v>
      </c>
      <c r="AF335" s="414" t="s">
        <v>619</v>
      </c>
      <c r="AG335" s="414" t="s">
        <v>506</v>
      </c>
      <c r="AH335" s="414" t="s">
        <v>623</v>
      </c>
    </row>
    <row r="336" spans="26:34">
      <c r="Z336" s="414" t="s">
        <v>611</v>
      </c>
      <c r="AA336" s="414" t="s">
        <v>452</v>
      </c>
      <c r="AB336" s="414" t="s">
        <v>563</v>
      </c>
      <c r="AC336" s="414" t="str">
        <f t="shared" si="5"/>
        <v>SerbiaPlane - Long-haul - Premium economy</v>
      </c>
      <c r="AD336" s="414">
        <v>2023</v>
      </c>
      <c r="AE336" s="414">
        <v>0.35952519328859062</v>
      </c>
      <c r="AF336" s="414" t="s">
        <v>619</v>
      </c>
      <c r="AG336" s="414" t="s">
        <v>506</v>
      </c>
      <c r="AH336" s="414" t="s">
        <v>623</v>
      </c>
    </row>
    <row r="337" spans="26:34">
      <c r="Z337" s="414" t="s">
        <v>611</v>
      </c>
      <c r="AA337" s="414" t="s">
        <v>452</v>
      </c>
      <c r="AB337" s="414" t="s">
        <v>568</v>
      </c>
      <c r="AC337" s="414" t="str">
        <f t="shared" si="5"/>
        <v>SerbiaPlane - Long-haul - Business class</v>
      </c>
      <c r="AD337" s="414">
        <v>2023</v>
      </c>
      <c r="AE337" s="414">
        <v>0.6516569302013423</v>
      </c>
      <c r="AF337" s="414" t="s">
        <v>619</v>
      </c>
      <c r="AG337" s="414" t="s">
        <v>506</v>
      </c>
      <c r="AH337" s="414" t="s">
        <v>623</v>
      </c>
    </row>
    <row r="338" spans="26:34">
      <c r="Z338" s="414" t="s">
        <v>611</v>
      </c>
      <c r="AA338" s="414" t="s">
        <v>452</v>
      </c>
      <c r="AB338" s="414" t="s">
        <v>574</v>
      </c>
      <c r="AC338" s="414" t="str">
        <f t="shared" si="5"/>
        <v>SerbiaPlane - Long-haul - First class</v>
      </c>
      <c r="AD338" s="414">
        <v>2023</v>
      </c>
      <c r="AE338" s="414">
        <v>0.89884302953020123</v>
      </c>
      <c r="AF338" s="414" t="s">
        <v>619</v>
      </c>
      <c r="AG338" s="414" t="s">
        <v>506</v>
      </c>
      <c r="AH338" s="414" t="s">
        <v>623</v>
      </c>
    </row>
    <row r="339" spans="26:34">
      <c r="Z339" s="414" t="s">
        <v>612</v>
      </c>
      <c r="AA339" s="414" t="s">
        <v>452</v>
      </c>
      <c r="AB339" s="414" t="s">
        <v>549</v>
      </c>
      <c r="AC339" s="414" t="str">
        <f t="shared" si="5"/>
        <v>SlovakiaPlane - Short-haul - Economy</v>
      </c>
      <c r="AD339" s="414">
        <v>2023</v>
      </c>
      <c r="AE339" s="414">
        <v>0.20535935436241612</v>
      </c>
      <c r="AF339" s="414" t="s">
        <v>619</v>
      </c>
      <c r="AG339" s="414" t="s">
        <v>506</v>
      </c>
      <c r="AH339" s="414" t="s">
        <v>623</v>
      </c>
    </row>
    <row r="340" spans="26:34">
      <c r="Z340" s="414" t="s">
        <v>612</v>
      </c>
      <c r="AA340" s="414" t="s">
        <v>452</v>
      </c>
      <c r="AB340" s="414" t="s">
        <v>554</v>
      </c>
      <c r="AC340" s="414" t="str">
        <f t="shared" si="5"/>
        <v>SlovakiaPlane - Short-haul - Business class</v>
      </c>
      <c r="AD340" s="414">
        <v>2023</v>
      </c>
      <c r="AE340" s="414">
        <v>0.30803287785234901</v>
      </c>
      <c r="AF340" s="414" t="s">
        <v>619</v>
      </c>
      <c r="AG340" s="414" t="s">
        <v>506</v>
      </c>
      <c r="AH340" s="414" t="s">
        <v>623</v>
      </c>
    </row>
    <row r="341" spans="26:34">
      <c r="Z341" s="414" t="s">
        <v>612</v>
      </c>
      <c r="AA341" s="414" t="s">
        <v>452</v>
      </c>
      <c r="AB341" s="414" t="s">
        <v>559</v>
      </c>
      <c r="AC341" s="414" t="str">
        <f t="shared" si="5"/>
        <v>SlovakiaPlane - Long-haul - Economy</v>
      </c>
      <c r="AD341" s="414">
        <v>2023</v>
      </c>
      <c r="AE341" s="414">
        <v>0.22471828053691276</v>
      </c>
      <c r="AF341" s="414" t="s">
        <v>619</v>
      </c>
      <c r="AG341" s="414" t="s">
        <v>506</v>
      </c>
      <c r="AH341" s="414" t="s">
        <v>623</v>
      </c>
    </row>
    <row r="342" spans="26:34">
      <c r="Z342" s="414" t="s">
        <v>612</v>
      </c>
      <c r="AA342" s="414" t="s">
        <v>452</v>
      </c>
      <c r="AB342" s="414" t="s">
        <v>563</v>
      </c>
      <c r="AC342" s="414" t="str">
        <f t="shared" si="5"/>
        <v>SlovakiaPlane - Long-haul - Premium economy</v>
      </c>
      <c r="AD342" s="414">
        <v>2023</v>
      </c>
      <c r="AE342" s="414">
        <v>0.35952519328859062</v>
      </c>
      <c r="AF342" s="414" t="s">
        <v>619</v>
      </c>
      <c r="AG342" s="414" t="s">
        <v>506</v>
      </c>
      <c r="AH342" s="414" t="s">
        <v>623</v>
      </c>
    </row>
    <row r="343" spans="26:34">
      <c r="Z343" s="414" t="s">
        <v>612</v>
      </c>
      <c r="AA343" s="414" t="s">
        <v>452</v>
      </c>
      <c r="AB343" s="414" t="s">
        <v>568</v>
      </c>
      <c r="AC343" s="414" t="str">
        <f t="shared" si="5"/>
        <v>SlovakiaPlane - Long-haul - Business class</v>
      </c>
      <c r="AD343" s="414">
        <v>2023</v>
      </c>
      <c r="AE343" s="414">
        <v>0.6516569302013423</v>
      </c>
      <c r="AF343" s="414" t="s">
        <v>619</v>
      </c>
      <c r="AG343" s="414" t="s">
        <v>506</v>
      </c>
      <c r="AH343" s="414" t="s">
        <v>623</v>
      </c>
    </row>
    <row r="344" spans="26:34">
      <c r="Z344" s="414" t="s">
        <v>612</v>
      </c>
      <c r="AA344" s="414" t="s">
        <v>452</v>
      </c>
      <c r="AB344" s="414" t="s">
        <v>574</v>
      </c>
      <c r="AC344" s="414" t="str">
        <f t="shared" si="5"/>
        <v>SlovakiaPlane - Long-haul - First class</v>
      </c>
      <c r="AD344" s="414">
        <v>2023</v>
      </c>
      <c r="AE344" s="414">
        <v>0.89884302953020123</v>
      </c>
      <c r="AF344" s="414" t="s">
        <v>619</v>
      </c>
      <c r="AG344" s="414" t="s">
        <v>506</v>
      </c>
      <c r="AH344" s="414" t="s">
        <v>623</v>
      </c>
    </row>
    <row r="345" spans="26:34">
      <c r="Z345" s="414" t="s">
        <v>613</v>
      </c>
      <c r="AA345" s="414" t="s">
        <v>452</v>
      </c>
      <c r="AB345" s="414" t="s">
        <v>549</v>
      </c>
      <c r="AC345" s="414" t="str">
        <f t="shared" si="5"/>
        <v>SloveniaPlane - Short-haul - Economy</v>
      </c>
      <c r="AD345" s="414">
        <v>2023</v>
      </c>
      <c r="AE345" s="414">
        <v>0.20535935436241612</v>
      </c>
      <c r="AF345" s="414" t="s">
        <v>619</v>
      </c>
      <c r="AG345" s="414" t="s">
        <v>506</v>
      </c>
      <c r="AH345" s="414" t="s">
        <v>623</v>
      </c>
    </row>
    <row r="346" spans="26:34">
      <c r="Z346" s="414" t="s">
        <v>613</v>
      </c>
      <c r="AA346" s="414" t="s">
        <v>452</v>
      </c>
      <c r="AB346" s="414" t="s">
        <v>554</v>
      </c>
      <c r="AC346" s="414" t="str">
        <f t="shared" si="5"/>
        <v>SloveniaPlane - Short-haul - Business class</v>
      </c>
      <c r="AD346" s="414">
        <v>2023</v>
      </c>
      <c r="AE346" s="414">
        <v>0.30803287785234901</v>
      </c>
      <c r="AF346" s="414" t="s">
        <v>619</v>
      </c>
      <c r="AG346" s="414" t="s">
        <v>506</v>
      </c>
      <c r="AH346" s="414" t="s">
        <v>623</v>
      </c>
    </row>
    <row r="347" spans="26:34">
      <c r="Z347" s="414" t="s">
        <v>613</v>
      </c>
      <c r="AA347" s="414" t="s">
        <v>452</v>
      </c>
      <c r="AB347" s="414" t="s">
        <v>559</v>
      </c>
      <c r="AC347" s="414" t="str">
        <f t="shared" si="5"/>
        <v>SloveniaPlane - Long-haul - Economy</v>
      </c>
      <c r="AD347" s="414">
        <v>2023</v>
      </c>
      <c r="AE347" s="414">
        <v>0.22471828053691276</v>
      </c>
      <c r="AF347" s="414" t="s">
        <v>619</v>
      </c>
      <c r="AG347" s="414" t="s">
        <v>506</v>
      </c>
      <c r="AH347" s="414" t="s">
        <v>623</v>
      </c>
    </row>
    <row r="348" spans="26:34">
      <c r="Z348" s="414" t="s">
        <v>613</v>
      </c>
      <c r="AA348" s="414" t="s">
        <v>452</v>
      </c>
      <c r="AB348" s="414" t="s">
        <v>563</v>
      </c>
      <c r="AC348" s="414" t="str">
        <f t="shared" si="5"/>
        <v>SloveniaPlane - Long-haul - Premium economy</v>
      </c>
      <c r="AD348" s="414">
        <v>2023</v>
      </c>
      <c r="AE348" s="414">
        <v>0.35952519328859062</v>
      </c>
      <c r="AF348" s="414" t="s">
        <v>619</v>
      </c>
      <c r="AG348" s="414" t="s">
        <v>506</v>
      </c>
      <c r="AH348" s="414" t="s">
        <v>623</v>
      </c>
    </row>
    <row r="349" spans="26:34">
      <c r="Z349" s="414" t="s">
        <v>613</v>
      </c>
      <c r="AA349" s="414" t="s">
        <v>452</v>
      </c>
      <c r="AB349" s="414" t="s">
        <v>568</v>
      </c>
      <c r="AC349" s="414" t="str">
        <f t="shared" si="5"/>
        <v>SloveniaPlane - Long-haul - Business class</v>
      </c>
      <c r="AD349" s="414">
        <v>2023</v>
      </c>
      <c r="AE349" s="414">
        <v>0.6516569302013423</v>
      </c>
      <c r="AF349" s="414" t="s">
        <v>619</v>
      </c>
      <c r="AG349" s="414" t="s">
        <v>506</v>
      </c>
      <c r="AH349" s="414" t="s">
        <v>623</v>
      </c>
    </row>
    <row r="350" spans="26:34">
      <c r="Z350" s="414" t="s">
        <v>613</v>
      </c>
      <c r="AA350" s="414" t="s">
        <v>452</v>
      </c>
      <c r="AB350" s="414" t="s">
        <v>574</v>
      </c>
      <c r="AC350" s="414" t="str">
        <f t="shared" si="5"/>
        <v>SloveniaPlane - Long-haul - First class</v>
      </c>
      <c r="AD350" s="414">
        <v>2023</v>
      </c>
      <c r="AE350" s="414">
        <v>0.89884302953020123</v>
      </c>
      <c r="AF350" s="414" t="s">
        <v>619</v>
      </c>
      <c r="AG350" s="414" t="s">
        <v>506</v>
      </c>
      <c r="AH350" s="414" t="s">
        <v>623</v>
      </c>
    </row>
    <row r="351" spans="26:34">
      <c r="Z351" s="414" t="s">
        <v>614</v>
      </c>
      <c r="AA351" s="414" t="s">
        <v>452</v>
      </c>
      <c r="AB351" s="414" t="s">
        <v>549</v>
      </c>
      <c r="AC351" s="414" t="str">
        <f t="shared" si="5"/>
        <v>SpainPlane - Short-haul - Economy</v>
      </c>
      <c r="AD351" s="414">
        <v>2023</v>
      </c>
      <c r="AE351" s="414">
        <v>0.20535935436241612</v>
      </c>
      <c r="AF351" s="414" t="s">
        <v>619</v>
      </c>
      <c r="AG351" s="414" t="s">
        <v>506</v>
      </c>
      <c r="AH351" s="414" t="s">
        <v>623</v>
      </c>
    </row>
    <row r="352" spans="26:34">
      <c r="Z352" s="414" t="s">
        <v>614</v>
      </c>
      <c r="AA352" s="414" t="s">
        <v>452</v>
      </c>
      <c r="AB352" s="414" t="s">
        <v>554</v>
      </c>
      <c r="AC352" s="414" t="str">
        <f t="shared" si="5"/>
        <v>SpainPlane - Short-haul - Business class</v>
      </c>
      <c r="AD352" s="414">
        <v>2023</v>
      </c>
      <c r="AE352" s="414">
        <v>0.30803287785234901</v>
      </c>
      <c r="AF352" s="414" t="s">
        <v>619</v>
      </c>
      <c r="AG352" s="414" t="s">
        <v>506</v>
      </c>
      <c r="AH352" s="414" t="s">
        <v>623</v>
      </c>
    </row>
    <row r="353" spans="26:34">
      <c r="Z353" s="414" t="s">
        <v>614</v>
      </c>
      <c r="AA353" s="414" t="s">
        <v>452</v>
      </c>
      <c r="AB353" s="414" t="s">
        <v>559</v>
      </c>
      <c r="AC353" s="414" t="str">
        <f t="shared" si="5"/>
        <v>SpainPlane - Long-haul - Economy</v>
      </c>
      <c r="AD353" s="414">
        <v>2023</v>
      </c>
      <c r="AE353" s="414">
        <v>0.22471828053691276</v>
      </c>
      <c r="AF353" s="414" t="s">
        <v>619</v>
      </c>
      <c r="AG353" s="414" t="s">
        <v>506</v>
      </c>
      <c r="AH353" s="414" t="s">
        <v>623</v>
      </c>
    </row>
    <row r="354" spans="26:34">
      <c r="Z354" s="414" t="s">
        <v>614</v>
      </c>
      <c r="AA354" s="414" t="s">
        <v>452</v>
      </c>
      <c r="AB354" s="414" t="s">
        <v>563</v>
      </c>
      <c r="AC354" s="414" t="str">
        <f t="shared" si="5"/>
        <v>SpainPlane - Long-haul - Premium economy</v>
      </c>
      <c r="AD354" s="414">
        <v>2023</v>
      </c>
      <c r="AE354" s="414">
        <v>0.35952519328859062</v>
      </c>
      <c r="AF354" s="414" t="s">
        <v>619</v>
      </c>
      <c r="AG354" s="414" t="s">
        <v>506</v>
      </c>
      <c r="AH354" s="414" t="s">
        <v>623</v>
      </c>
    </row>
    <row r="355" spans="26:34">
      <c r="Z355" s="414" t="s">
        <v>614</v>
      </c>
      <c r="AA355" s="414" t="s">
        <v>452</v>
      </c>
      <c r="AB355" s="414" t="s">
        <v>568</v>
      </c>
      <c r="AC355" s="414" t="str">
        <f t="shared" si="5"/>
        <v>SpainPlane - Long-haul - Business class</v>
      </c>
      <c r="AD355" s="414">
        <v>2023</v>
      </c>
      <c r="AE355" s="414">
        <v>0.6516569302013423</v>
      </c>
      <c r="AF355" s="414" t="s">
        <v>619</v>
      </c>
      <c r="AG355" s="414" t="s">
        <v>506</v>
      </c>
      <c r="AH355" s="414" t="s">
        <v>623</v>
      </c>
    </row>
    <row r="356" spans="26:34">
      <c r="Z356" s="414" t="s">
        <v>614</v>
      </c>
      <c r="AA356" s="414" t="s">
        <v>452</v>
      </c>
      <c r="AB356" s="414" t="s">
        <v>574</v>
      </c>
      <c r="AC356" s="414" t="str">
        <f t="shared" si="5"/>
        <v>SpainPlane - Long-haul - First class</v>
      </c>
      <c r="AD356" s="414">
        <v>2023</v>
      </c>
      <c r="AE356" s="414">
        <v>0.89884302953020123</v>
      </c>
      <c r="AF356" s="414" t="s">
        <v>619</v>
      </c>
      <c r="AG356" s="414" t="s">
        <v>506</v>
      </c>
      <c r="AH356" s="414" t="s">
        <v>623</v>
      </c>
    </row>
    <row r="357" spans="26:34">
      <c r="Z357" s="414" t="s">
        <v>615</v>
      </c>
      <c r="AA357" s="414" t="s">
        <v>452</v>
      </c>
      <c r="AB357" s="414" t="s">
        <v>549</v>
      </c>
      <c r="AC357" s="414" t="str">
        <f t="shared" si="5"/>
        <v>SwedenPlane - Short-haul - Economy</v>
      </c>
      <c r="AD357" s="414">
        <v>2023</v>
      </c>
      <c r="AE357" s="414">
        <v>0.20535935436241612</v>
      </c>
      <c r="AF357" s="414" t="s">
        <v>619</v>
      </c>
      <c r="AG357" s="414" t="s">
        <v>506</v>
      </c>
      <c r="AH357" s="414" t="s">
        <v>623</v>
      </c>
    </row>
    <row r="358" spans="26:34">
      <c r="Z358" s="414" t="s">
        <v>615</v>
      </c>
      <c r="AA358" s="414" t="s">
        <v>452</v>
      </c>
      <c r="AB358" s="414" t="s">
        <v>554</v>
      </c>
      <c r="AC358" s="414" t="str">
        <f t="shared" si="5"/>
        <v>SwedenPlane - Short-haul - Business class</v>
      </c>
      <c r="AD358" s="414">
        <v>2023</v>
      </c>
      <c r="AE358" s="414">
        <v>0.30803287785234901</v>
      </c>
      <c r="AF358" s="414" t="s">
        <v>619</v>
      </c>
      <c r="AG358" s="414" t="s">
        <v>506</v>
      </c>
      <c r="AH358" s="414" t="s">
        <v>623</v>
      </c>
    </row>
    <row r="359" spans="26:34">
      <c r="Z359" s="414" t="s">
        <v>615</v>
      </c>
      <c r="AA359" s="414" t="s">
        <v>452</v>
      </c>
      <c r="AB359" s="414" t="s">
        <v>559</v>
      </c>
      <c r="AC359" s="414" t="str">
        <f t="shared" si="5"/>
        <v>SwedenPlane - Long-haul - Economy</v>
      </c>
      <c r="AD359" s="414">
        <v>2023</v>
      </c>
      <c r="AE359" s="414">
        <v>0.22471828053691276</v>
      </c>
      <c r="AF359" s="414" t="s">
        <v>619</v>
      </c>
      <c r="AG359" s="414" t="s">
        <v>506</v>
      </c>
      <c r="AH359" s="414" t="s">
        <v>623</v>
      </c>
    </row>
    <row r="360" spans="26:34">
      <c r="Z360" s="414" t="s">
        <v>615</v>
      </c>
      <c r="AA360" s="414" t="s">
        <v>452</v>
      </c>
      <c r="AB360" s="414" t="s">
        <v>563</v>
      </c>
      <c r="AC360" s="414" t="str">
        <f t="shared" si="5"/>
        <v>SwedenPlane - Long-haul - Premium economy</v>
      </c>
      <c r="AD360" s="414">
        <v>2023</v>
      </c>
      <c r="AE360" s="414">
        <v>0.35952519328859062</v>
      </c>
      <c r="AF360" s="414" t="s">
        <v>619</v>
      </c>
      <c r="AG360" s="414" t="s">
        <v>506</v>
      </c>
      <c r="AH360" s="414" t="s">
        <v>623</v>
      </c>
    </row>
    <row r="361" spans="26:34">
      <c r="Z361" s="414" t="s">
        <v>615</v>
      </c>
      <c r="AA361" s="414" t="s">
        <v>452</v>
      </c>
      <c r="AB361" s="414" t="s">
        <v>568</v>
      </c>
      <c r="AC361" s="414" t="str">
        <f t="shared" si="5"/>
        <v>SwedenPlane - Long-haul - Business class</v>
      </c>
      <c r="AD361" s="414">
        <v>2023</v>
      </c>
      <c r="AE361" s="414">
        <v>0.6516569302013423</v>
      </c>
      <c r="AF361" s="414" t="s">
        <v>619</v>
      </c>
      <c r="AG361" s="414" t="s">
        <v>506</v>
      </c>
      <c r="AH361" s="414" t="s">
        <v>623</v>
      </c>
    </row>
    <row r="362" spans="26:34">
      <c r="Z362" s="414" t="s">
        <v>615</v>
      </c>
      <c r="AA362" s="414" t="s">
        <v>452</v>
      </c>
      <c r="AB362" s="414" t="s">
        <v>574</v>
      </c>
      <c r="AC362" s="414" t="str">
        <f t="shared" si="5"/>
        <v>SwedenPlane - Long-haul - First class</v>
      </c>
      <c r="AD362" s="414">
        <v>2023</v>
      </c>
      <c r="AE362" s="414">
        <v>0.89884302953020123</v>
      </c>
      <c r="AF362" s="414" t="s">
        <v>619</v>
      </c>
      <c r="AG362" s="414" t="s">
        <v>506</v>
      </c>
      <c r="AH362" s="414" t="s">
        <v>623</v>
      </c>
    </row>
    <row r="363" spans="26:34">
      <c r="Z363" s="414" t="s">
        <v>616</v>
      </c>
      <c r="AA363" s="414" t="s">
        <v>452</v>
      </c>
      <c r="AB363" s="414" t="s">
        <v>549</v>
      </c>
      <c r="AC363" s="414" t="str">
        <f t="shared" si="5"/>
        <v>SwitzerlandPlane - Short-haul - Economy</v>
      </c>
      <c r="AD363" s="414">
        <v>2023</v>
      </c>
      <c r="AE363" s="414">
        <v>0.20535935436241612</v>
      </c>
      <c r="AF363" s="414" t="s">
        <v>619</v>
      </c>
      <c r="AG363" s="414" t="s">
        <v>506</v>
      </c>
      <c r="AH363" s="414" t="s">
        <v>623</v>
      </c>
    </row>
    <row r="364" spans="26:34">
      <c r="Z364" s="414" t="s">
        <v>616</v>
      </c>
      <c r="AA364" s="414" t="s">
        <v>452</v>
      </c>
      <c r="AB364" s="414" t="s">
        <v>554</v>
      </c>
      <c r="AC364" s="414" t="str">
        <f t="shared" si="5"/>
        <v>SwitzerlandPlane - Short-haul - Business class</v>
      </c>
      <c r="AD364" s="414">
        <v>2023</v>
      </c>
      <c r="AE364" s="414">
        <v>0.30803287785234901</v>
      </c>
      <c r="AF364" s="414" t="s">
        <v>619</v>
      </c>
      <c r="AG364" s="414" t="s">
        <v>506</v>
      </c>
      <c r="AH364" s="414" t="s">
        <v>623</v>
      </c>
    </row>
    <row r="365" spans="26:34">
      <c r="Z365" s="414" t="s">
        <v>616</v>
      </c>
      <c r="AA365" s="414" t="s">
        <v>452</v>
      </c>
      <c r="AB365" s="414" t="s">
        <v>559</v>
      </c>
      <c r="AC365" s="414" t="str">
        <f t="shared" si="5"/>
        <v>SwitzerlandPlane - Long-haul - Economy</v>
      </c>
      <c r="AD365" s="414">
        <v>2023</v>
      </c>
      <c r="AE365" s="414">
        <v>0.22471828053691276</v>
      </c>
      <c r="AF365" s="414" t="s">
        <v>619</v>
      </c>
      <c r="AG365" s="414" t="s">
        <v>506</v>
      </c>
      <c r="AH365" s="414" t="s">
        <v>623</v>
      </c>
    </row>
    <row r="366" spans="26:34">
      <c r="Z366" s="414" t="s">
        <v>616</v>
      </c>
      <c r="AA366" s="414" t="s">
        <v>452</v>
      </c>
      <c r="AB366" s="414" t="s">
        <v>563</v>
      </c>
      <c r="AC366" s="414" t="str">
        <f t="shared" si="5"/>
        <v>SwitzerlandPlane - Long-haul - Premium economy</v>
      </c>
      <c r="AD366" s="414">
        <v>2023</v>
      </c>
      <c r="AE366" s="414">
        <v>0.35952519328859062</v>
      </c>
      <c r="AF366" s="414" t="s">
        <v>619</v>
      </c>
      <c r="AG366" s="414" t="s">
        <v>506</v>
      </c>
      <c r="AH366" s="414" t="s">
        <v>623</v>
      </c>
    </row>
    <row r="367" spans="26:34">
      <c r="Z367" s="414" t="s">
        <v>616</v>
      </c>
      <c r="AA367" s="414" t="s">
        <v>452</v>
      </c>
      <c r="AB367" s="414" t="s">
        <v>568</v>
      </c>
      <c r="AC367" s="414" t="str">
        <f t="shared" si="5"/>
        <v>SwitzerlandPlane - Long-haul - Business class</v>
      </c>
      <c r="AD367" s="414">
        <v>2023</v>
      </c>
      <c r="AE367" s="414">
        <v>0.6516569302013423</v>
      </c>
      <c r="AF367" s="414" t="s">
        <v>619</v>
      </c>
      <c r="AG367" s="414" t="s">
        <v>506</v>
      </c>
      <c r="AH367" s="414" t="s">
        <v>623</v>
      </c>
    </row>
    <row r="368" spans="26:34">
      <c r="Z368" s="414" t="s">
        <v>616</v>
      </c>
      <c r="AA368" s="414" t="s">
        <v>452</v>
      </c>
      <c r="AB368" s="414" t="s">
        <v>574</v>
      </c>
      <c r="AC368" s="414" t="str">
        <f t="shared" si="5"/>
        <v>SwitzerlandPlane - Long-haul - First class</v>
      </c>
      <c r="AD368" s="414">
        <v>2023</v>
      </c>
      <c r="AE368" s="414">
        <v>0.89884302953020123</v>
      </c>
      <c r="AF368" s="414" t="s">
        <v>619</v>
      </c>
      <c r="AG368" s="414" t="s">
        <v>506</v>
      </c>
      <c r="AH368" s="414" t="s">
        <v>623</v>
      </c>
    </row>
    <row r="369" spans="26:34">
      <c r="Z369" s="414" t="s">
        <v>617</v>
      </c>
      <c r="AA369" s="414" t="s">
        <v>452</v>
      </c>
      <c r="AB369" s="414" t="s">
        <v>549</v>
      </c>
      <c r="AC369" s="414" t="str">
        <f t="shared" si="5"/>
        <v>UkrainePlane - Short-haul - Economy</v>
      </c>
      <c r="AD369" s="414">
        <v>2023</v>
      </c>
      <c r="AE369" s="414">
        <v>0.20535935436241612</v>
      </c>
      <c r="AF369" s="414" t="s">
        <v>619</v>
      </c>
      <c r="AG369" s="414" t="s">
        <v>506</v>
      </c>
      <c r="AH369" s="414" t="s">
        <v>623</v>
      </c>
    </row>
    <row r="370" spans="26:34">
      <c r="Z370" s="414" t="s">
        <v>617</v>
      </c>
      <c r="AA370" s="414" t="s">
        <v>452</v>
      </c>
      <c r="AB370" s="414" t="s">
        <v>554</v>
      </c>
      <c r="AC370" s="414" t="str">
        <f t="shared" si="5"/>
        <v>UkrainePlane - Short-haul - Business class</v>
      </c>
      <c r="AD370" s="414">
        <v>2023</v>
      </c>
      <c r="AE370" s="414">
        <v>0.30803287785234901</v>
      </c>
      <c r="AF370" s="414" t="s">
        <v>619</v>
      </c>
      <c r="AG370" s="414" t="s">
        <v>506</v>
      </c>
      <c r="AH370" s="414" t="s">
        <v>623</v>
      </c>
    </row>
    <row r="371" spans="26:34">
      <c r="Z371" s="414" t="s">
        <v>617</v>
      </c>
      <c r="AA371" s="414" t="s">
        <v>452</v>
      </c>
      <c r="AB371" s="414" t="s">
        <v>559</v>
      </c>
      <c r="AC371" s="414" t="str">
        <f t="shared" si="5"/>
        <v>UkrainePlane - Long-haul - Economy</v>
      </c>
      <c r="AD371" s="414">
        <v>2023</v>
      </c>
      <c r="AE371" s="414">
        <v>0.22471828053691276</v>
      </c>
      <c r="AF371" s="414" t="s">
        <v>619</v>
      </c>
      <c r="AG371" s="414" t="s">
        <v>506</v>
      </c>
      <c r="AH371" s="414" t="s">
        <v>623</v>
      </c>
    </row>
    <row r="372" spans="26:34">
      <c r="Z372" s="414" t="s">
        <v>617</v>
      </c>
      <c r="AA372" s="414" t="s">
        <v>452</v>
      </c>
      <c r="AB372" s="414" t="s">
        <v>563</v>
      </c>
      <c r="AC372" s="414" t="str">
        <f t="shared" si="5"/>
        <v>UkrainePlane - Long-haul - Premium economy</v>
      </c>
      <c r="AD372" s="414">
        <v>2023</v>
      </c>
      <c r="AE372" s="414">
        <v>0.35952519328859062</v>
      </c>
      <c r="AF372" s="414" t="s">
        <v>619</v>
      </c>
      <c r="AG372" s="414" t="s">
        <v>506</v>
      </c>
      <c r="AH372" s="414" t="s">
        <v>623</v>
      </c>
    </row>
    <row r="373" spans="26:34">
      <c r="Z373" s="414" t="s">
        <v>617</v>
      </c>
      <c r="AA373" s="414" t="s">
        <v>452</v>
      </c>
      <c r="AB373" s="414" t="s">
        <v>568</v>
      </c>
      <c r="AC373" s="414" t="str">
        <f t="shared" si="5"/>
        <v>UkrainePlane - Long-haul - Business class</v>
      </c>
      <c r="AD373" s="414">
        <v>2023</v>
      </c>
      <c r="AE373" s="414">
        <v>0.6516569302013423</v>
      </c>
      <c r="AF373" s="414" t="s">
        <v>619</v>
      </c>
      <c r="AG373" s="414" t="s">
        <v>506</v>
      </c>
      <c r="AH373" s="414" t="s">
        <v>623</v>
      </c>
    </row>
    <row r="374" spans="26:34">
      <c r="Z374" s="414" t="s">
        <v>617</v>
      </c>
      <c r="AA374" s="414" t="s">
        <v>452</v>
      </c>
      <c r="AB374" s="414" t="s">
        <v>574</v>
      </c>
      <c r="AC374" s="414" t="str">
        <f t="shared" si="5"/>
        <v>UkrainePlane - Long-haul - First class</v>
      </c>
      <c r="AD374" s="414">
        <v>2023</v>
      </c>
      <c r="AE374" s="414">
        <v>0.89884302953020123</v>
      </c>
      <c r="AF374" s="414" t="s">
        <v>619</v>
      </c>
      <c r="AG374" s="414" t="s">
        <v>506</v>
      </c>
      <c r="AH374" s="414" t="s">
        <v>623</v>
      </c>
    </row>
    <row r="375" spans="26:34">
      <c r="Z375" s="414" t="s">
        <v>618</v>
      </c>
      <c r="AA375" s="414" t="s">
        <v>452</v>
      </c>
      <c r="AB375" s="414" t="s">
        <v>549</v>
      </c>
      <c r="AC375" s="414" t="str">
        <f t="shared" si="5"/>
        <v>United KingdomPlane - Short-haul - Economy</v>
      </c>
      <c r="AD375" s="414">
        <v>2023</v>
      </c>
      <c r="AE375" s="414">
        <v>0.20535935436241612</v>
      </c>
      <c r="AF375" s="414" t="s">
        <v>619</v>
      </c>
      <c r="AG375" s="414" t="s">
        <v>506</v>
      </c>
    </row>
    <row r="376" spans="26:34">
      <c r="Z376" s="414" t="s">
        <v>618</v>
      </c>
      <c r="AA376" s="414" t="s">
        <v>452</v>
      </c>
      <c r="AB376" s="414" t="s">
        <v>554</v>
      </c>
      <c r="AC376" s="414" t="str">
        <f t="shared" si="5"/>
        <v>United KingdomPlane - Short-haul - Business class</v>
      </c>
      <c r="AD376" s="414">
        <v>2023</v>
      </c>
      <c r="AE376" s="414">
        <v>0.30803287785234901</v>
      </c>
      <c r="AF376" s="414" t="s">
        <v>619</v>
      </c>
      <c r="AG376" s="414" t="s">
        <v>506</v>
      </c>
    </row>
    <row r="377" spans="26:34">
      <c r="Z377" s="414" t="s">
        <v>618</v>
      </c>
      <c r="AA377" s="414" t="s">
        <v>452</v>
      </c>
      <c r="AB377" s="414" t="s">
        <v>559</v>
      </c>
      <c r="AC377" s="414" t="str">
        <f t="shared" si="5"/>
        <v>United KingdomPlane - Long-haul - Economy</v>
      </c>
      <c r="AD377" s="414">
        <v>2023</v>
      </c>
      <c r="AE377" s="414">
        <v>0.22471828053691276</v>
      </c>
      <c r="AF377" s="414" t="s">
        <v>619</v>
      </c>
      <c r="AG377" s="414" t="s">
        <v>506</v>
      </c>
    </row>
    <row r="378" spans="26:34">
      <c r="Z378" s="414" t="s">
        <v>618</v>
      </c>
      <c r="AA378" s="414" t="s">
        <v>452</v>
      </c>
      <c r="AB378" s="414" t="s">
        <v>563</v>
      </c>
      <c r="AC378" s="414" t="str">
        <f t="shared" si="5"/>
        <v>United KingdomPlane - Long-haul - Premium economy</v>
      </c>
      <c r="AD378" s="414">
        <v>2023</v>
      </c>
      <c r="AE378" s="414">
        <v>0.35952519328859062</v>
      </c>
      <c r="AF378" s="414" t="s">
        <v>619</v>
      </c>
      <c r="AG378" s="414" t="s">
        <v>506</v>
      </c>
    </row>
    <row r="379" spans="26:34">
      <c r="Z379" s="414" t="s">
        <v>618</v>
      </c>
      <c r="AA379" s="414" t="s">
        <v>452</v>
      </c>
      <c r="AB379" s="414" t="s">
        <v>568</v>
      </c>
      <c r="AC379" s="414" t="str">
        <f t="shared" si="5"/>
        <v>United KingdomPlane - Long-haul - Business class</v>
      </c>
      <c r="AD379" s="414">
        <v>2023</v>
      </c>
      <c r="AE379" s="414">
        <v>0.6516569302013423</v>
      </c>
      <c r="AF379" s="414" t="s">
        <v>619</v>
      </c>
      <c r="AG379" s="414" t="s">
        <v>506</v>
      </c>
    </row>
    <row r="380" spans="26:34">
      <c r="Z380" s="414" t="s">
        <v>618</v>
      </c>
      <c r="AA380" s="414" t="s">
        <v>452</v>
      </c>
      <c r="AB380" s="414" t="s">
        <v>574</v>
      </c>
      <c r="AC380" s="414" t="str">
        <f t="shared" si="5"/>
        <v>United KingdomPlane - Long-haul - First class</v>
      </c>
      <c r="AD380" s="414">
        <v>2023</v>
      </c>
      <c r="AE380" s="414">
        <v>0.89884302953020123</v>
      </c>
      <c r="AF380" s="414" t="s">
        <v>619</v>
      </c>
      <c r="AG380" s="414" t="s">
        <v>506</v>
      </c>
    </row>
    <row r="381" spans="26:34">
      <c r="Z381" s="414" t="s">
        <v>492</v>
      </c>
      <c r="AA381" s="414" t="s">
        <v>448</v>
      </c>
      <c r="AB381" s="414" t="s">
        <v>518</v>
      </c>
      <c r="AC381" s="414" t="str">
        <f t="shared" si="5"/>
        <v>AlbaniaBus - Average local bus</v>
      </c>
      <c r="AD381" s="414">
        <v>2023</v>
      </c>
      <c r="AE381" s="414">
        <v>0.12708039463087248</v>
      </c>
      <c r="AF381" s="414" t="s">
        <v>619</v>
      </c>
      <c r="AG381" s="414" t="s">
        <v>506</v>
      </c>
    </row>
    <row r="382" spans="26:34">
      <c r="Z382" s="414" t="s">
        <v>492</v>
      </c>
      <c r="AA382" s="414" t="s">
        <v>451</v>
      </c>
      <c r="AB382" s="414" t="s">
        <v>451</v>
      </c>
      <c r="AC382" s="414" t="str">
        <f t="shared" si="5"/>
        <v>AlbaniaCoach</v>
      </c>
      <c r="AD382" s="414">
        <v>2023</v>
      </c>
      <c r="AE382" s="414">
        <v>3.3741401342281874E-2</v>
      </c>
      <c r="AF382" s="414" t="s">
        <v>619</v>
      </c>
      <c r="AG382" s="414" t="s">
        <v>506</v>
      </c>
    </row>
    <row r="383" spans="26:34">
      <c r="Z383" s="414" t="s">
        <v>504</v>
      </c>
      <c r="AA383" s="414" t="s">
        <v>448</v>
      </c>
      <c r="AB383" s="414" t="s">
        <v>518</v>
      </c>
      <c r="AC383" s="414" t="str">
        <f t="shared" si="5"/>
        <v>AndorraBus - Average local bus</v>
      </c>
      <c r="AD383" s="414">
        <v>2023</v>
      </c>
      <c r="AE383" s="414">
        <v>0.12708039463087248</v>
      </c>
      <c r="AF383" s="414" t="s">
        <v>619</v>
      </c>
      <c r="AG383" s="414" t="s">
        <v>506</v>
      </c>
    </row>
    <row r="384" spans="26:34">
      <c r="Z384" s="414" t="s">
        <v>504</v>
      </c>
      <c r="AA384" s="414" t="s">
        <v>451</v>
      </c>
      <c r="AB384" s="414" t="s">
        <v>451</v>
      </c>
      <c r="AC384" s="414" t="str">
        <f t="shared" si="5"/>
        <v>AndorraCoach</v>
      </c>
      <c r="AD384" s="414">
        <v>2023</v>
      </c>
      <c r="AE384" s="414">
        <v>3.3741401342281874E-2</v>
      </c>
      <c r="AF384" s="414" t="s">
        <v>619</v>
      </c>
      <c r="AG384" s="414" t="s">
        <v>506</v>
      </c>
    </row>
    <row r="385" spans="26:33">
      <c r="Z385" s="414" t="s">
        <v>513</v>
      </c>
      <c r="AA385" s="414" t="s">
        <v>448</v>
      </c>
      <c r="AB385" s="414" t="s">
        <v>518</v>
      </c>
      <c r="AC385" s="414" t="str">
        <f t="shared" si="5"/>
        <v>AustriaBus - Average local bus</v>
      </c>
      <c r="AD385" s="414">
        <v>2023</v>
      </c>
      <c r="AE385" s="414">
        <v>0.12708039463087248</v>
      </c>
      <c r="AF385" s="414" t="s">
        <v>619</v>
      </c>
      <c r="AG385" s="414" t="s">
        <v>506</v>
      </c>
    </row>
    <row r="386" spans="26:33">
      <c r="Z386" s="414" t="s">
        <v>513</v>
      </c>
      <c r="AA386" s="414" t="s">
        <v>451</v>
      </c>
      <c r="AB386" s="414" t="s">
        <v>451</v>
      </c>
      <c r="AC386" s="414" t="str">
        <f t="shared" si="5"/>
        <v>AustriaCoach</v>
      </c>
      <c r="AD386" s="414">
        <v>2023</v>
      </c>
      <c r="AE386" s="414">
        <v>3.3741401342281874E-2</v>
      </c>
      <c r="AF386" s="414" t="s">
        <v>619</v>
      </c>
      <c r="AG386" s="414" t="s">
        <v>506</v>
      </c>
    </row>
    <row r="387" spans="26:33">
      <c r="Z387" s="414" t="s">
        <v>519</v>
      </c>
      <c r="AA387" s="414" t="s">
        <v>448</v>
      </c>
      <c r="AB387" s="414" t="s">
        <v>518</v>
      </c>
      <c r="AC387" s="414" t="str">
        <f t="shared" ref="AC387:AC450" si="6">Z387&amp;AB387</f>
        <v>BelarusBus - Average local bus</v>
      </c>
      <c r="AD387" s="414">
        <v>2023</v>
      </c>
      <c r="AE387" s="414">
        <v>0.12708039463087248</v>
      </c>
      <c r="AF387" s="414" t="s">
        <v>619</v>
      </c>
      <c r="AG387" s="414" t="s">
        <v>506</v>
      </c>
    </row>
    <row r="388" spans="26:33">
      <c r="Z388" s="414" t="s">
        <v>519</v>
      </c>
      <c r="AA388" s="414" t="s">
        <v>451</v>
      </c>
      <c r="AB388" s="414" t="s">
        <v>451</v>
      </c>
      <c r="AC388" s="414" t="str">
        <f t="shared" si="6"/>
        <v>BelarusCoach</v>
      </c>
      <c r="AD388" s="414">
        <v>2023</v>
      </c>
      <c r="AE388" s="414">
        <v>3.3741401342281874E-2</v>
      </c>
      <c r="AF388" s="414" t="s">
        <v>619</v>
      </c>
      <c r="AG388" s="414" t="s">
        <v>506</v>
      </c>
    </row>
    <row r="389" spans="26:33">
      <c r="Z389" s="414" t="s">
        <v>525</v>
      </c>
      <c r="AA389" s="414" t="s">
        <v>448</v>
      </c>
      <c r="AB389" s="414" t="s">
        <v>518</v>
      </c>
      <c r="AC389" s="414" t="str">
        <f t="shared" si="6"/>
        <v>BelgiumBus - Average local bus</v>
      </c>
      <c r="AD389" s="414">
        <v>2023</v>
      </c>
      <c r="AE389" s="414">
        <v>2.3E-2</v>
      </c>
      <c r="AF389" s="414" t="s">
        <v>619</v>
      </c>
      <c r="AG389" s="414" t="s">
        <v>526</v>
      </c>
    </row>
    <row r="390" spans="26:33">
      <c r="Z390" s="414" t="s">
        <v>525</v>
      </c>
      <c r="AA390" s="414" t="s">
        <v>451</v>
      </c>
      <c r="AB390" s="414" t="s">
        <v>451</v>
      </c>
      <c r="AC390" s="414" t="str">
        <f t="shared" si="6"/>
        <v>BelgiumCoach</v>
      </c>
      <c r="AD390" s="414">
        <v>2023</v>
      </c>
      <c r="AE390" s="414">
        <v>4.0000000000000001E-3</v>
      </c>
      <c r="AF390" s="414" t="s">
        <v>619</v>
      </c>
      <c r="AG390" s="414" t="s">
        <v>526</v>
      </c>
    </row>
    <row r="391" spans="26:33">
      <c r="Z391" s="414" t="s">
        <v>530</v>
      </c>
      <c r="AA391" s="414" t="s">
        <v>448</v>
      </c>
      <c r="AB391" s="414" t="s">
        <v>518</v>
      </c>
      <c r="AC391" s="414" t="str">
        <f t="shared" si="6"/>
        <v>Bosnia and HerzegovinaBus - Average local bus</v>
      </c>
      <c r="AD391" s="414">
        <v>2023</v>
      </c>
      <c r="AE391" s="414">
        <v>0.12708039463087248</v>
      </c>
      <c r="AF391" s="414" t="s">
        <v>619</v>
      </c>
      <c r="AG391" s="414" t="s">
        <v>506</v>
      </c>
    </row>
    <row r="392" spans="26:33">
      <c r="Z392" s="414" t="s">
        <v>530</v>
      </c>
      <c r="AA392" s="414" t="s">
        <v>451</v>
      </c>
      <c r="AB392" s="414" t="s">
        <v>451</v>
      </c>
      <c r="AC392" s="414" t="str">
        <f t="shared" si="6"/>
        <v>Bosnia and HerzegovinaCoach</v>
      </c>
      <c r="AD392" s="414">
        <v>2023</v>
      </c>
      <c r="AE392" s="414">
        <v>3.3741401342281874E-2</v>
      </c>
      <c r="AF392" s="414" t="s">
        <v>619</v>
      </c>
      <c r="AG392" s="414" t="s">
        <v>506</v>
      </c>
    </row>
    <row r="393" spans="26:33">
      <c r="Z393" s="414" t="s">
        <v>534</v>
      </c>
      <c r="AA393" s="414" t="s">
        <v>448</v>
      </c>
      <c r="AB393" s="414" t="s">
        <v>518</v>
      </c>
      <c r="AC393" s="414" t="str">
        <f t="shared" si="6"/>
        <v>BulgariaBus - Average local bus</v>
      </c>
      <c r="AD393" s="414">
        <v>2023</v>
      </c>
      <c r="AE393" s="414">
        <v>0.12708039463087248</v>
      </c>
      <c r="AF393" s="414" t="s">
        <v>619</v>
      </c>
      <c r="AG393" s="414" t="s">
        <v>506</v>
      </c>
    </row>
    <row r="394" spans="26:33">
      <c r="Z394" s="414" t="s">
        <v>534</v>
      </c>
      <c r="AA394" s="414" t="s">
        <v>451</v>
      </c>
      <c r="AB394" s="414" t="s">
        <v>451</v>
      </c>
      <c r="AC394" s="414" t="str">
        <f t="shared" si="6"/>
        <v>BulgariaCoach</v>
      </c>
      <c r="AD394" s="414">
        <v>2023</v>
      </c>
      <c r="AE394" s="414">
        <v>3.3741401342281874E-2</v>
      </c>
      <c r="AF394" s="414" t="s">
        <v>619</v>
      </c>
      <c r="AG394" s="414" t="s">
        <v>506</v>
      </c>
    </row>
    <row r="395" spans="26:33">
      <c r="Z395" s="414" t="s">
        <v>538</v>
      </c>
      <c r="AA395" s="414" t="s">
        <v>448</v>
      </c>
      <c r="AB395" s="414" t="s">
        <v>518</v>
      </c>
      <c r="AC395" s="414" t="str">
        <f t="shared" si="6"/>
        <v>CroatiaBus - Average local bus</v>
      </c>
      <c r="AD395" s="414">
        <v>2023</v>
      </c>
      <c r="AE395" s="414">
        <v>0.12708039463087248</v>
      </c>
      <c r="AF395" s="414" t="s">
        <v>619</v>
      </c>
      <c r="AG395" s="414" t="s">
        <v>506</v>
      </c>
    </row>
    <row r="396" spans="26:33">
      <c r="Z396" s="414" t="s">
        <v>538</v>
      </c>
      <c r="AA396" s="414" t="s">
        <v>451</v>
      </c>
      <c r="AB396" s="414" t="s">
        <v>451</v>
      </c>
      <c r="AC396" s="414" t="str">
        <f t="shared" si="6"/>
        <v>CroatiaCoach</v>
      </c>
      <c r="AD396" s="414">
        <v>2023</v>
      </c>
      <c r="AE396" s="414">
        <v>3.3741401342281874E-2</v>
      </c>
      <c r="AF396" s="414" t="s">
        <v>619</v>
      </c>
      <c r="AG396" s="414" t="s">
        <v>506</v>
      </c>
    </row>
    <row r="397" spans="26:33">
      <c r="Z397" s="414" t="s">
        <v>542</v>
      </c>
      <c r="AA397" s="414" t="s">
        <v>448</v>
      </c>
      <c r="AB397" s="414" t="s">
        <v>518</v>
      </c>
      <c r="AC397" s="414" t="str">
        <f t="shared" si="6"/>
        <v>CzechiaBus - Average local bus</v>
      </c>
      <c r="AD397" s="414">
        <v>2023</v>
      </c>
      <c r="AE397" s="414">
        <v>0.12708039463087248</v>
      </c>
      <c r="AF397" s="414" t="s">
        <v>619</v>
      </c>
      <c r="AG397" s="414" t="s">
        <v>506</v>
      </c>
    </row>
    <row r="398" spans="26:33">
      <c r="Z398" s="414" t="s">
        <v>542</v>
      </c>
      <c r="AA398" s="414" t="s">
        <v>451</v>
      </c>
      <c r="AB398" s="414" t="s">
        <v>451</v>
      </c>
      <c r="AC398" s="414" t="str">
        <f t="shared" si="6"/>
        <v>CzechiaCoach</v>
      </c>
      <c r="AD398" s="414">
        <v>2023</v>
      </c>
      <c r="AE398" s="414">
        <v>3.3741401342281874E-2</v>
      </c>
      <c r="AF398" s="414" t="s">
        <v>619</v>
      </c>
      <c r="AG398" s="414" t="s">
        <v>506</v>
      </c>
    </row>
    <row r="399" spans="26:33">
      <c r="Z399" s="414" t="s">
        <v>545</v>
      </c>
      <c r="AA399" s="414" t="s">
        <v>448</v>
      </c>
      <c r="AB399" s="414" t="s">
        <v>518</v>
      </c>
      <c r="AC399" s="414" t="str">
        <f t="shared" si="6"/>
        <v>DenmarkBus - Average local bus</v>
      </c>
      <c r="AD399" s="414">
        <v>2023</v>
      </c>
      <c r="AE399" s="414">
        <v>0.12708039463087248</v>
      </c>
      <c r="AF399" s="414" t="s">
        <v>619</v>
      </c>
      <c r="AG399" s="414" t="s">
        <v>506</v>
      </c>
    </row>
    <row r="400" spans="26:33">
      <c r="Z400" s="414" t="s">
        <v>545</v>
      </c>
      <c r="AA400" s="414" t="s">
        <v>451</v>
      </c>
      <c r="AB400" s="414" t="s">
        <v>451</v>
      </c>
      <c r="AC400" s="414" t="str">
        <f t="shared" si="6"/>
        <v>DenmarkCoach</v>
      </c>
      <c r="AD400" s="414">
        <v>2023</v>
      </c>
      <c r="AE400" s="414">
        <v>3.3741401342281874E-2</v>
      </c>
      <c r="AF400" s="414" t="s">
        <v>619</v>
      </c>
      <c r="AG400" s="414" t="s">
        <v>506</v>
      </c>
    </row>
    <row r="401" spans="26:33">
      <c r="Z401" s="414" t="s">
        <v>550</v>
      </c>
      <c r="AA401" s="414" t="s">
        <v>448</v>
      </c>
      <c r="AB401" s="414" t="s">
        <v>518</v>
      </c>
      <c r="AC401" s="414" t="str">
        <f t="shared" si="6"/>
        <v>EstoniaBus - Average local bus</v>
      </c>
      <c r="AD401" s="414">
        <v>2023</v>
      </c>
      <c r="AE401" s="414">
        <v>0.12708039463087248</v>
      </c>
      <c r="AF401" s="414" t="s">
        <v>619</v>
      </c>
      <c r="AG401" s="414" t="s">
        <v>506</v>
      </c>
    </row>
    <row r="402" spans="26:33">
      <c r="Z402" s="414" t="s">
        <v>550</v>
      </c>
      <c r="AA402" s="414" t="s">
        <v>451</v>
      </c>
      <c r="AB402" s="414" t="s">
        <v>451</v>
      </c>
      <c r="AC402" s="414" t="str">
        <f t="shared" si="6"/>
        <v>EstoniaCoach</v>
      </c>
      <c r="AD402" s="414">
        <v>2023</v>
      </c>
      <c r="AE402" s="414">
        <v>3.3741401342281874E-2</v>
      </c>
      <c r="AF402" s="414" t="s">
        <v>619</v>
      </c>
      <c r="AG402" s="414" t="s">
        <v>506</v>
      </c>
    </row>
    <row r="403" spans="26:33">
      <c r="Z403" s="414" t="s">
        <v>555</v>
      </c>
      <c r="AA403" s="414" t="s">
        <v>448</v>
      </c>
      <c r="AB403" s="414" t="s">
        <v>518</v>
      </c>
      <c r="AC403" s="414" t="str">
        <f t="shared" si="6"/>
        <v>FinlandBus - Average local bus</v>
      </c>
      <c r="AD403" s="414">
        <v>2023</v>
      </c>
      <c r="AE403" s="414">
        <v>0.12708039463087248</v>
      </c>
      <c r="AF403" s="414" t="s">
        <v>619</v>
      </c>
      <c r="AG403" s="414" t="s">
        <v>506</v>
      </c>
    </row>
    <row r="404" spans="26:33">
      <c r="Z404" s="414" t="s">
        <v>555</v>
      </c>
      <c r="AA404" s="414" t="s">
        <v>451</v>
      </c>
      <c r="AB404" s="414" t="s">
        <v>451</v>
      </c>
      <c r="AC404" s="414" t="str">
        <f t="shared" si="6"/>
        <v>FinlandCoach</v>
      </c>
      <c r="AD404" s="414">
        <v>2023</v>
      </c>
      <c r="AE404" s="414">
        <v>3.3741401342281874E-2</v>
      </c>
      <c r="AF404" s="414" t="s">
        <v>619</v>
      </c>
      <c r="AG404" s="414" t="s">
        <v>506</v>
      </c>
    </row>
    <row r="405" spans="26:33">
      <c r="Z405" s="414" t="s">
        <v>560</v>
      </c>
      <c r="AA405" s="414" t="s">
        <v>448</v>
      </c>
      <c r="AB405" s="414" t="s">
        <v>518</v>
      </c>
      <c r="AC405" s="414" t="str">
        <f t="shared" si="6"/>
        <v>FranceBus - Average local bus</v>
      </c>
      <c r="AD405" s="414">
        <v>2022</v>
      </c>
      <c r="AE405" s="414">
        <v>0.113</v>
      </c>
      <c r="AF405" s="414" t="s">
        <v>619</v>
      </c>
      <c r="AG405" s="414" t="s">
        <v>495</v>
      </c>
    </row>
    <row r="406" spans="26:33">
      <c r="Z406" s="414" t="s">
        <v>560</v>
      </c>
      <c r="AA406" s="414" t="s">
        <v>451</v>
      </c>
      <c r="AB406" s="414" t="s">
        <v>451</v>
      </c>
      <c r="AC406" s="414" t="str">
        <f t="shared" si="6"/>
        <v>FranceCoach</v>
      </c>
      <c r="AD406" s="414">
        <v>2021</v>
      </c>
      <c r="AE406" s="414">
        <v>2.9499999999999998E-2</v>
      </c>
      <c r="AF406" s="414" t="s">
        <v>619</v>
      </c>
      <c r="AG406" s="414" t="s">
        <v>495</v>
      </c>
    </row>
    <row r="407" spans="26:33">
      <c r="Z407" s="414" t="s">
        <v>565</v>
      </c>
      <c r="AA407" s="414" t="s">
        <v>448</v>
      </c>
      <c r="AB407" s="414" t="s">
        <v>518</v>
      </c>
      <c r="AC407" s="414" t="str">
        <f t="shared" si="6"/>
        <v>GermanyBus - Average local bus</v>
      </c>
      <c r="AD407" s="414">
        <v>2020</v>
      </c>
      <c r="AE407" s="414">
        <v>5.4300000000000001E-2</v>
      </c>
      <c r="AF407" s="414" t="s">
        <v>619</v>
      </c>
      <c r="AG407" s="421" t="s">
        <v>624</v>
      </c>
    </row>
    <row r="408" spans="26:33">
      <c r="Z408" s="414" t="s">
        <v>565</v>
      </c>
      <c r="AA408" s="414" t="s">
        <v>451</v>
      </c>
      <c r="AB408" s="414" t="s">
        <v>451</v>
      </c>
      <c r="AC408" s="414" t="str">
        <f t="shared" si="6"/>
        <v>GermanyCoach</v>
      </c>
      <c r="AD408" s="414">
        <v>2023</v>
      </c>
      <c r="AE408" s="414">
        <v>5.1400000000000001E-2</v>
      </c>
      <c r="AF408" s="414" t="s">
        <v>619</v>
      </c>
      <c r="AG408" s="421" t="s">
        <v>624</v>
      </c>
    </row>
    <row r="409" spans="26:33">
      <c r="Z409" s="414" t="s">
        <v>570</v>
      </c>
      <c r="AA409" s="414" t="s">
        <v>448</v>
      </c>
      <c r="AB409" s="414" t="s">
        <v>518</v>
      </c>
      <c r="AC409" s="414" t="str">
        <f t="shared" si="6"/>
        <v>GreeceBus - Average local bus</v>
      </c>
      <c r="AD409" s="414">
        <v>2023</v>
      </c>
      <c r="AE409" s="414">
        <v>0.12708039463087248</v>
      </c>
      <c r="AF409" s="414" t="s">
        <v>619</v>
      </c>
      <c r="AG409" s="414" t="s">
        <v>506</v>
      </c>
    </row>
    <row r="410" spans="26:33">
      <c r="Z410" s="414" t="s">
        <v>570</v>
      </c>
      <c r="AA410" s="414" t="s">
        <v>451</v>
      </c>
      <c r="AB410" s="414" t="s">
        <v>451</v>
      </c>
      <c r="AC410" s="414" t="str">
        <f t="shared" si="6"/>
        <v>GreeceCoach</v>
      </c>
      <c r="AD410" s="414">
        <v>2023</v>
      </c>
      <c r="AE410" s="414">
        <v>3.3741401342281874E-2</v>
      </c>
      <c r="AF410" s="414" t="s">
        <v>619</v>
      </c>
      <c r="AG410" s="414" t="s">
        <v>506</v>
      </c>
    </row>
    <row r="411" spans="26:33">
      <c r="Z411" s="414" t="s">
        <v>575</v>
      </c>
      <c r="AA411" s="414" t="s">
        <v>448</v>
      </c>
      <c r="AB411" s="414" t="s">
        <v>518</v>
      </c>
      <c r="AC411" s="414" t="str">
        <f t="shared" si="6"/>
        <v>HungaryBus - Average local bus</v>
      </c>
      <c r="AD411" s="414">
        <v>2023</v>
      </c>
      <c r="AE411" s="414">
        <v>0.12708039463087248</v>
      </c>
      <c r="AF411" s="414" t="s">
        <v>619</v>
      </c>
      <c r="AG411" s="414" t="s">
        <v>506</v>
      </c>
    </row>
    <row r="412" spans="26:33">
      <c r="Z412" s="414" t="s">
        <v>575</v>
      </c>
      <c r="AA412" s="414" t="s">
        <v>451</v>
      </c>
      <c r="AB412" s="414" t="s">
        <v>451</v>
      </c>
      <c r="AC412" s="414" t="str">
        <f t="shared" si="6"/>
        <v>HungaryCoach</v>
      </c>
      <c r="AD412" s="414">
        <v>2023</v>
      </c>
      <c r="AE412" s="414">
        <v>3.3741401342281874E-2</v>
      </c>
      <c r="AF412" s="414" t="s">
        <v>619</v>
      </c>
      <c r="AG412" s="414" t="s">
        <v>506</v>
      </c>
    </row>
    <row r="413" spans="26:33">
      <c r="Z413" s="414" t="s">
        <v>579</v>
      </c>
      <c r="AA413" s="414" t="s">
        <v>448</v>
      </c>
      <c r="AB413" s="414" t="s">
        <v>518</v>
      </c>
      <c r="AC413" s="414" t="str">
        <f t="shared" si="6"/>
        <v>IcelandBus - Average local bus</v>
      </c>
      <c r="AD413" s="414">
        <v>2023</v>
      </c>
      <c r="AE413" s="414">
        <v>0.12708039463087248</v>
      </c>
      <c r="AF413" s="414" t="s">
        <v>619</v>
      </c>
      <c r="AG413" s="414" t="s">
        <v>506</v>
      </c>
    </row>
    <row r="414" spans="26:33">
      <c r="Z414" s="414" t="s">
        <v>579</v>
      </c>
      <c r="AA414" s="414" t="s">
        <v>451</v>
      </c>
      <c r="AB414" s="414" t="s">
        <v>451</v>
      </c>
      <c r="AC414" s="414" t="str">
        <f t="shared" si="6"/>
        <v>IcelandCoach</v>
      </c>
      <c r="AD414" s="414">
        <v>2023</v>
      </c>
      <c r="AE414" s="414">
        <v>3.3741401342281874E-2</v>
      </c>
      <c r="AF414" s="414" t="s">
        <v>619</v>
      </c>
      <c r="AG414" s="414" t="s">
        <v>506</v>
      </c>
    </row>
    <row r="415" spans="26:33">
      <c r="Z415" s="414" t="s">
        <v>583</v>
      </c>
      <c r="AA415" s="414" t="s">
        <v>448</v>
      </c>
      <c r="AB415" s="414" t="s">
        <v>518</v>
      </c>
      <c r="AC415" s="414" t="str">
        <f t="shared" si="6"/>
        <v>IrelandBus - Average local bus</v>
      </c>
      <c r="AD415" s="414">
        <v>2023</v>
      </c>
      <c r="AE415" s="414">
        <v>0.12708039463087248</v>
      </c>
      <c r="AF415" s="414" t="s">
        <v>619</v>
      </c>
      <c r="AG415" s="414" t="s">
        <v>506</v>
      </c>
    </row>
    <row r="416" spans="26:33">
      <c r="Z416" s="414" t="s">
        <v>583</v>
      </c>
      <c r="AA416" s="414" t="s">
        <v>451</v>
      </c>
      <c r="AB416" s="414" t="s">
        <v>451</v>
      </c>
      <c r="AC416" s="414" t="str">
        <f t="shared" si="6"/>
        <v>IrelandCoach</v>
      </c>
      <c r="AD416" s="414">
        <v>2023</v>
      </c>
      <c r="AE416" s="414">
        <v>3.3741401342281874E-2</v>
      </c>
      <c r="AF416" s="414" t="s">
        <v>619</v>
      </c>
      <c r="AG416" s="414" t="s">
        <v>506</v>
      </c>
    </row>
    <row r="417" spans="26:33">
      <c r="Z417" s="414" t="s">
        <v>585</v>
      </c>
      <c r="AA417" s="414" t="s">
        <v>448</v>
      </c>
      <c r="AB417" s="414" t="s">
        <v>518</v>
      </c>
      <c r="AC417" s="414" t="str">
        <f t="shared" si="6"/>
        <v>ItalyBus - Average local bus</v>
      </c>
      <c r="AD417" s="414">
        <v>2023</v>
      </c>
      <c r="AE417" s="414">
        <v>0.12708039463087248</v>
      </c>
      <c r="AF417" s="414" t="s">
        <v>619</v>
      </c>
      <c r="AG417" s="414" t="s">
        <v>506</v>
      </c>
    </row>
    <row r="418" spans="26:33">
      <c r="Z418" s="414" t="s">
        <v>585</v>
      </c>
      <c r="AA418" s="414" t="s">
        <v>451</v>
      </c>
      <c r="AB418" s="414" t="s">
        <v>451</v>
      </c>
      <c r="AC418" s="414" t="str">
        <f t="shared" si="6"/>
        <v>ItalyCoach</v>
      </c>
      <c r="AD418" s="414">
        <v>2023</v>
      </c>
      <c r="AE418" s="414">
        <v>3.3741401342281874E-2</v>
      </c>
      <c r="AF418" s="414" t="s">
        <v>619</v>
      </c>
      <c r="AG418" s="414" t="s">
        <v>506</v>
      </c>
    </row>
    <row r="419" spans="26:33">
      <c r="Z419" s="414" t="s">
        <v>587</v>
      </c>
      <c r="AA419" s="414" t="s">
        <v>448</v>
      </c>
      <c r="AB419" s="414" t="s">
        <v>518</v>
      </c>
      <c r="AC419" s="414" t="str">
        <f t="shared" si="6"/>
        <v>LatviaBus - Average local bus</v>
      </c>
      <c r="AD419" s="414">
        <v>2023</v>
      </c>
      <c r="AE419" s="414">
        <v>0.12708039463087248</v>
      </c>
      <c r="AF419" s="414" t="s">
        <v>619</v>
      </c>
      <c r="AG419" s="414" t="s">
        <v>506</v>
      </c>
    </row>
    <row r="420" spans="26:33">
      <c r="Z420" s="414" t="s">
        <v>587</v>
      </c>
      <c r="AA420" s="414" t="s">
        <v>451</v>
      </c>
      <c r="AB420" s="414" t="s">
        <v>451</v>
      </c>
      <c r="AC420" s="414" t="str">
        <f t="shared" si="6"/>
        <v>LatviaCoach</v>
      </c>
      <c r="AD420" s="414">
        <v>2023</v>
      </c>
      <c r="AE420" s="414">
        <v>3.3741401342281874E-2</v>
      </c>
      <c r="AF420" s="414" t="s">
        <v>619</v>
      </c>
      <c r="AG420" s="414" t="s">
        <v>506</v>
      </c>
    </row>
    <row r="421" spans="26:33">
      <c r="Z421" s="414" t="s">
        <v>589</v>
      </c>
      <c r="AA421" s="414" t="s">
        <v>448</v>
      </c>
      <c r="AB421" s="414" t="s">
        <v>518</v>
      </c>
      <c r="AC421" s="414" t="str">
        <f t="shared" si="6"/>
        <v>LiechtensteinBus - Average local bus</v>
      </c>
      <c r="AD421" s="414">
        <v>2023</v>
      </c>
      <c r="AE421" s="414">
        <v>0.12708039463087248</v>
      </c>
      <c r="AF421" s="414" t="s">
        <v>619</v>
      </c>
      <c r="AG421" s="414" t="s">
        <v>506</v>
      </c>
    </row>
    <row r="422" spans="26:33">
      <c r="Z422" s="414" t="s">
        <v>589</v>
      </c>
      <c r="AA422" s="414" t="s">
        <v>451</v>
      </c>
      <c r="AB422" s="414" t="s">
        <v>451</v>
      </c>
      <c r="AC422" s="414" t="str">
        <f t="shared" si="6"/>
        <v>LiechtensteinCoach</v>
      </c>
      <c r="AD422" s="414">
        <v>2023</v>
      </c>
      <c r="AE422" s="414">
        <v>3.3741401342281874E-2</v>
      </c>
      <c r="AF422" s="414" t="s">
        <v>619</v>
      </c>
      <c r="AG422" s="414" t="s">
        <v>506</v>
      </c>
    </row>
    <row r="423" spans="26:33">
      <c r="Z423" s="414" t="s">
        <v>591</v>
      </c>
      <c r="AA423" s="414" t="s">
        <v>448</v>
      </c>
      <c r="AB423" s="414" t="s">
        <v>518</v>
      </c>
      <c r="AC423" s="414" t="str">
        <f t="shared" si="6"/>
        <v>LithuaniaBus - Average local bus</v>
      </c>
      <c r="AD423" s="414">
        <v>2023</v>
      </c>
      <c r="AE423" s="414">
        <v>0.12708039463087248</v>
      </c>
      <c r="AF423" s="414" t="s">
        <v>619</v>
      </c>
      <c r="AG423" s="414" t="s">
        <v>506</v>
      </c>
    </row>
    <row r="424" spans="26:33">
      <c r="Z424" s="414" t="s">
        <v>591</v>
      </c>
      <c r="AA424" s="414" t="s">
        <v>451</v>
      </c>
      <c r="AB424" s="414" t="s">
        <v>451</v>
      </c>
      <c r="AC424" s="414" t="str">
        <f t="shared" si="6"/>
        <v>LithuaniaCoach</v>
      </c>
      <c r="AD424" s="414">
        <v>2023</v>
      </c>
      <c r="AE424" s="414">
        <v>3.3741401342281874E-2</v>
      </c>
      <c r="AF424" s="414" t="s">
        <v>619</v>
      </c>
      <c r="AG424" s="414" t="s">
        <v>506</v>
      </c>
    </row>
    <row r="425" spans="26:33">
      <c r="Z425" s="414" t="s">
        <v>594</v>
      </c>
      <c r="AA425" s="414" t="s">
        <v>448</v>
      </c>
      <c r="AB425" s="414" t="s">
        <v>518</v>
      </c>
      <c r="AC425" s="414" t="str">
        <f t="shared" si="6"/>
        <v>LuxembourgBus - Average local bus</v>
      </c>
      <c r="AD425" s="414">
        <v>2023</v>
      </c>
      <c r="AE425" s="414">
        <v>0.12708039463087248</v>
      </c>
      <c r="AF425" s="414" t="s">
        <v>619</v>
      </c>
      <c r="AG425" s="414" t="s">
        <v>506</v>
      </c>
    </row>
    <row r="426" spans="26:33">
      <c r="Z426" s="414" t="s">
        <v>594</v>
      </c>
      <c r="AA426" s="414" t="s">
        <v>451</v>
      </c>
      <c r="AB426" s="414" t="s">
        <v>451</v>
      </c>
      <c r="AC426" s="414" t="str">
        <f t="shared" si="6"/>
        <v>LuxembourgCoach</v>
      </c>
      <c r="AD426" s="414">
        <v>2023</v>
      </c>
      <c r="AE426" s="414">
        <v>3.3741401342281874E-2</v>
      </c>
      <c r="AF426" s="414" t="s">
        <v>619</v>
      </c>
      <c r="AG426" s="414" t="s">
        <v>506</v>
      </c>
    </row>
    <row r="427" spans="26:33">
      <c r="Z427" s="414" t="s">
        <v>596</v>
      </c>
      <c r="AA427" s="414" t="s">
        <v>448</v>
      </c>
      <c r="AB427" s="414" t="s">
        <v>518</v>
      </c>
      <c r="AC427" s="414" t="str">
        <f t="shared" si="6"/>
        <v>MaltaBus - Average local bus</v>
      </c>
      <c r="AD427" s="414">
        <v>2023</v>
      </c>
      <c r="AE427" s="414">
        <v>0.12708039463087248</v>
      </c>
      <c r="AF427" s="414" t="s">
        <v>619</v>
      </c>
      <c r="AG427" s="414" t="s">
        <v>506</v>
      </c>
    </row>
    <row r="428" spans="26:33">
      <c r="Z428" s="414" t="s">
        <v>596</v>
      </c>
      <c r="AA428" s="414" t="s">
        <v>451</v>
      </c>
      <c r="AB428" s="414" t="s">
        <v>451</v>
      </c>
      <c r="AC428" s="414" t="str">
        <f t="shared" si="6"/>
        <v>MaltaCoach</v>
      </c>
      <c r="AD428" s="414">
        <v>2023</v>
      </c>
      <c r="AE428" s="414">
        <v>3.3741401342281874E-2</v>
      </c>
      <c r="AF428" s="414" t="s">
        <v>619</v>
      </c>
      <c r="AG428" s="414" t="s">
        <v>506</v>
      </c>
    </row>
    <row r="429" spans="26:33">
      <c r="Z429" s="414" t="s">
        <v>598</v>
      </c>
      <c r="AA429" s="414" t="s">
        <v>448</v>
      </c>
      <c r="AB429" s="414" t="s">
        <v>518</v>
      </c>
      <c r="AC429" s="414" t="str">
        <f t="shared" si="6"/>
        <v>MoldovaBus - Average local bus</v>
      </c>
      <c r="AD429" s="414">
        <v>2023</v>
      </c>
      <c r="AE429" s="414">
        <v>0.12708039463087248</v>
      </c>
      <c r="AF429" s="414" t="s">
        <v>619</v>
      </c>
      <c r="AG429" s="414" t="s">
        <v>506</v>
      </c>
    </row>
    <row r="430" spans="26:33">
      <c r="Z430" s="414" t="s">
        <v>598</v>
      </c>
      <c r="AA430" s="414" t="s">
        <v>451</v>
      </c>
      <c r="AB430" s="414" t="s">
        <v>451</v>
      </c>
      <c r="AC430" s="414" t="str">
        <f t="shared" si="6"/>
        <v>MoldovaCoach</v>
      </c>
      <c r="AD430" s="414">
        <v>2023</v>
      </c>
      <c r="AE430" s="414">
        <v>3.3741401342281874E-2</v>
      </c>
      <c r="AF430" s="414" t="s">
        <v>619</v>
      </c>
      <c r="AG430" s="414" t="s">
        <v>506</v>
      </c>
    </row>
    <row r="431" spans="26:33">
      <c r="Z431" s="414" t="s">
        <v>600</v>
      </c>
      <c r="AA431" s="414" t="s">
        <v>448</v>
      </c>
      <c r="AB431" s="414" t="s">
        <v>518</v>
      </c>
      <c r="AC431" s="414" t="str">
        <f t="shared" si="6"/>
        <v>MonacoBus - Average local bus</v>
      </c>
      <c r="AD431" s="414">
        <v>2023</v>
      </c>
      <c r="AE431" s="414">
        <v>0.12708039463087248</v>
      </c>
      <c r="AF431" s="414" t="s">
        <v>619</v>
      </c>
      <c r="AG431" s="414" t="s">
        <v>506</v>
      </c>
    </row>
    <row r="432" spans="26:33">
      <c r="Z432" s="414" t="s">
        <v>600</v>
      </c>
      <c r="AA432" s="414" t="s">
        <v>451</v>
      </c>
      <c r="AB432" s="414" t="s">
        <v>451</v>
      </c>
      <c r="AC432" s="414" t="str">
        <f t="shared" si="6"/>
        <v>MonacoCoach</v>
      </c>
      <c r="AD432" s="414">
        <v>2023</v>
      </c>
      <c r="AE432" s="414">
        <v>3.3741401342281874E-2</v>
      </c>
      <c r="AF432" s="414" t="s">
        <v>619</v>
      </c>
      <c r="AG432" s="414" t="s">
        <v>506</v>
      </c>
    </row>
    <row r="433" spans="26:33">
      <c r="Z433" s="414" t="s">
        <v>602</v>
      </c>
      <c r="AA433" s="414" t="s">
        <v>448</v>
      </c>
      <c r="AB433" s="414" t="s">
        <v>518</v>
      </c>
      <c r="AC433" s="414" t="str">
        <f t="shared" si="6"/>
        <v>MontenegroBus - Average local bus</v>
      </c>
      <c r="AD433" s="414">
        <v>2023</v>
      </c>
      <c r="AE433" s="414">
        <v>0.12708039463087248</v>
      </c>
      <c r="AF433" s="414" t="s">
        <v>619</v>
      </c>
      <c r="AG433" s="414" t="s">
        <v>506</v>
      </c>
    </row>
    <row r="434" spans="26:33">
      <c r="Z434" s="414" t="s">
        <v>602</v>
      </c>
      <c r="AA434" s="414" t="s">
        <v>451</v>
      </c>
      <c r="AB434" s="414" t="s">
        <v>451</v>
      </c>
      <c r="AC434" s="414" t="str">
        <f t="shared" si="6"/>
        <v>MontenegroCoach</v>
      </c>
      <c r="AD434" s="414">
        <v>2023</v>
      </c>
      <c r="AE434" s="414">
        <v>3.3741401342281874E-2</v>
      </c>
      <c r="AF434" s="414" t="s">
        <v>619</v>
      </c>
      <c r="AG434" s="414" t="s">
        <v>506</v>
      </c>
    </row>
    <row r="435" spans="26:33">
      <c r="Z435" s="414" t="s">
        <v>603</v>
      </c>
      <c r="AA435" s="414" t="s">
        <v>448</v>
      </c>
      <c r="AB435" s="414" t="s">
        <v>518</v>
      </c>
      <c r="AC435" s="414" t="str">
        <f t="shared" si="6"/>
        <v>NetherlandsBus - Average local bus</v>
      </c>
      <c r="AD435" s="414">
        <v>2024</v>
      </c>
      <c r="AE435" s="414">
        <v>0.109</v>
      </c>
      <c r="AF435" s="414" t="s">
        <v>619</v>
      </c>
      <c r="AG435" s="414" t="s">
        <v>604</v>
      </c>
    </row>
    <row r="436" spans="26:33">
      <c r="Z436" s="414" t="s">
        <v>603</v>
      </c>
      <c r="AA436" s="414" t="s">
        <v>451</v>
      </c>
      <c r="AB436" s="414" t="s">
        <v>451</v>
      </c>
      <c r="AC436" s="414" t="str">
        <f t="shared" si="6"/>
        <v>NetherlandsCoach</v>
      </c>
      <c r="AD436" s="414">
        <v>2024</v>
      </c>
      <c r="AE436" s="422">
        <v>1.8499999999999999E-2</v>
      </c>
      <c r="AF436" s="414" t="s">
        <v>619</v>
      </c>
      <c r="AG436" s="414" t="s">
        <v>604</v>
      </c>
    </row>
    <row r="437" spans="26:33">
      <c r="Z437" s="414" t="s">
        <v>605</v>
      </c>
      <c r="AA437" s="414" t="s">
        <v>448</v>
      </c>
      <c r="AB437" s="414" t="s">
        <v>518</v>
      </c>
      <c r="AC437" s="414" t="str">
        <f t="shared" si="6"/>
        <v>North MacedoniaBus - Average local bus</v>
      </c>
      <c r="AD437" s="414">
        <v>2023</v>
      </c>
      <c r="AE437" s="414">
        <v>0.12708039463087248</v>
      </c>
      <c r="AF437" s="414" t="s">
        <v>619</v>
      </c>
      <c r="AG437" s="414" t="s">
        <v>506</v>
      </c>
    </row>
    <row r="438" spans="26:33">
      <c r="Z438" s="414" t="s">
        <v>605</v>
      </c>
      <c r="AA438" s="414" t="s">
        <v>451</v>
      </c>
      <c r="AB438" s="414" t="s">
        <v>451</v>
      </c>
      <c r="AC438" s="414" t="str">
        <f t="shared" si="6"/>
        <v>North MacedoniaCoach</v>
      </c>
      <c r="AD438" s="414">
        <v>2023</v>
      </c>
      <c r="AE438" s="414">
        <v>3.3741401342281874E-2</v>
      </c>
      <c r="AF438" s="414" t="s">
        <v>619</v>
      </c>
      <c r="AG438" s="414" t="s">
        <v>506</v>
      </c>
    </row>
    <row r="439" spans="26:33">
      <c r="Z439" s="414" t="s">
        <v>606</v>
      </c>
      <c r="AA439" s="414" t="s">
        <v>448</v>
      </c>
      <c r="AB439" s="414" t="s">
        <v>518</v>
      </c>
      <c r="AC439" s="414" t="str">
        <f t="shared" si="6"/>
        <v>NorwayBus - Average local bus</v>
      </c>
      <c r="AD439" s="414">
        <v>2023</v>
      </c>
      <c r="AE439" s="414">
        <v>0.12708039463087248</v>
      </c>
      <c r="AF439" s="414" t="s">
        <v>619</v>
      </c>
      <c r="AG439" s="414" t="s">
        <v>506</v>
      </c>
    </row>
    <row r="440" spans="26:33">
      <c r="Z440" s="414" t="s">
        <v>606</v>
      </c>
      <c r="AA440" s="414" t="s">
        <v>451</v>
      </c>
      <c r="AB440" s="414" t="s">
        <v>451</v>
      </c>
      <c r="AC440" s="414" t="str">
        <f t="shared" si="6"/>
        <v>NorwayCoach</v>
      </c>
      <c r="AD440" s="414">
        <v>2023</v>
      </c>
      <c r="AE440" s="414">
        <v>3.3741401342281874E-2</v>
      </c>
      <c r="AF440" s="414" t="s">
        <v>619</v>
      </c>
      <c r="AG440" s="414" t="s">
        <v>506</v>
      </c>
    </row>
    <row r="441" spans="26:33">
      <c r="Z441" s="414" t="s">
        <v>607</v>
      </c>
      <c r="AA441" s="414" t="s">
        <v>448</v>
      </c>
      <c r="AB441" s="414" t="s">
        <v>518</v>
      </c>
      <c r="AC441" s="414" t="str">
        <f t="shared" si="6"/>
        <v>PolandBus - Average local bus</v>
      </c>
      <c r="AD441" s="414">
        <v>2023</v>
      </c>
      <c r="AE441" s="414">
        <v>0.12708039463087248</v>
      </c>
      <c r="AF441" s="414" t="s">
        <v>619</v>
      </c>
      <c r="AG441" s="414" t="s">
        <v>506</v>
      </c>
    </row>
    <row r="442" spans="26:33">
      <c r="Z442" s="414" t="s">
        <v>607</v>
      </c>
      <c r="AA442" s="414" t="s">
        <v>451</v>
      </c>
      <c r="AB442" s="414" t="s">
        <v>451</v>
      </c>
      <c r="AC442" s="414" t="str">
        <f t="shared" si="6"/>
        <v>PolandCoach</v>
      </c>
      <c r="AD442" s="414">
        <v>2023</v>
      </c>
      <c r="AE442" s="414">
        <v>3.3741401342281874E-2</v>
      </c>
      <c r="AF442" s="414" t="s">
        <v>619</v>
      </c>
      <c r="AG442" s="414" t="s">
        <v>506</v>
      </c>
    </row>
    <row r="443" spans="26:33">
      <c r="Z443" s="414" t="s">
        <v>608</v>
      </c>
      <c r="AA443" s="414" t="s">
        <v>448</v>
      </c>
      <c r="AB443" s="414" t="s">
        <v>518</v>
      </c>
      <c r="AC443" s="414" t="str">
        <f t="shared" si="6"/>
        <v>PortugalBus - Average local bus</v>
      </c>
      <c r="AD443" s="414">
        <v>2023</v>
      </c>
      <c r="AE443" s="414">
        <v>0.12708039463087248</v>
      </c>
      <c r="AF443" s="414" t="s">
        <v>619</v>
      </c>
      <c r="AG443" s="414" t="s">
        <v>506</v>
      </c>
    </row>
    <row r="444" spans="26:33">
      <c r="Z444" s="414" t="s">
        <v>608</v>
      </c>
      <c r="AA444" s="414" t="s">
        <v>451</v>
      </c>
      <c r="AB444" s="414" t="s">
        <v>451</v>
      </c>
      <c r="AC444" s="414" t="str">
        <f t="shared" si="6"/>
        <v>PortugalCoach</v>
      </c>
      <c r="AD444" s="414">
        <v>2023</v>
      </c>
      <c r="AE444" s="414">
        <v>3.3741401342281874E-2</v>
      </c>
      <c r="AF444" s="414" t="s">
        <v>619</v>
      </c>
      <c r="AG444" s="414" t="s">
        <v>506</v>
      </c>
    </row>
    <row r="445" spans="26:33">
      <c r="Z445" s="414" t="s">
        <v>609</v>
      </c>
      <c r="AA445" s="414" t="s">
        <v>448</v>
      </c>
      <c r="AB445" s="414" t="s">
        <v>518</v>
      </c>
      <c r="AC445" s="414" t="str">
        <f t="shared" si="6"/>
        <v>RomaniaBus - Average local bus</v>
      </c>
      <c r="AD445" s="414">
        <v>2023</v>
      </c>
      <c r="AE445" s="414">
        <v>0.12708039463087248</v>
      </c>
      <c r="AF445" s="414" t="s">
        <v>619</v>
      </c>
      <c r="AG445" s="414" t="s">
        <v>506</v>
      </c>
    </row>
    <row r="446" spans="26:33">
      <c r="Z446" s="414" t="s">
        <v>609</v>
      </c>
      <c r="AA446" s="414" t="s">
        <v>451</v>
      </c>
      <c r="AB446" s="414" t="s">
        <v>451</v>
      </c>
      <c r="AC446" s="414" t="str">
        <f t="shared" si="6"/>
        <v>RomaniaCoach</v>
      </c>
      <c r="AD446" s="414">
        <v>2023</v>
      </c>
      <c r="AE446" s="414">
        <v>3.3741401342281874E-2</v>
      </c>
      <c r="AF446" s="414" t="s">
        <v>619</v>
      </c>
      <c r="AG446" s="414" t="s">
        <v>506</v>
      </c>
    </row>
    <row r="447" spans="26:33">
      <c r="Z447" s="414" t="s">
        <v>610</v>
      </c>
      <c r="AA447" s="414" t="s">
        <v>448</v>
      </c>
      <c r="AB447" s="414" t="s">
        <v>518</v>
      </c>
      <c r="AC447" s="414" t="str">
        <f t="shared" si="6"/>
        <v>San MarinoBus - Average local bus</v>
      </c>
      <c r="AD447" s="414">
        <v>2023</v>
      </c>
      <c r="AE447" s="414">
        <v>0.12708039463087248</v>
      </c>
      <c r="AF447" s="414" t="s">
        <v>619</v>
      </c>
      <c r="AG447" s="414" t="s">
        <v>506</v>
      </c>
    </row>
    <row r="448" spans="26:33">
      <c r="Z448" s="414" t="s">
        <v>610</v>
      </c>
      <c r="AA448" s="414" t="s">
        <v>451</v>
      </c>
      <c r="AB448" s="414" t="s">
        <v>451</v>
      </c>
      <c r="AC448" s="414" t="str">
        <f t="shared" si="6"/>
        <v>San MarinoCoach</v>
      </c>
      <c r="AD448" s="414">
        <v>2023</v>
      </c>
      <c r="AE448" s="414">
        <v>3.3741401342281874E-2</v>
      </c>
      <c r="AF448" s="414" t="s">
        <v>619</v>
      </c>
      <c r="AG448" s="414" t="s">
        <v>506</v>
      </c>
    </row>
    <row r="449" spans="26:33">
      <c r="Z449" s="414" t="s">
        <v>611</v>
      </c>
      <c r="AA449" s="414" t="s">
        <v>448</v>
      </c>
      <c r="AB449" s="414" t="s">
        <v>518</v>
      </c>
      <c r="AC449" s="414" t="str">
        <f t="shared" si="6"/>
        <v>SerbiaBus - Average local bus</v>
      </c>
      <c r="AD449" s="414">
        <v>2023</v>
      </c>
      <c r="AE449" s="414">
        <v>0.12708039463087248</v>
      </c>
      <c r="AF449" s="414" t="s">
        <v>619</v>
      </c>
      <c r="AG449" s="414" t="s">
        <v>506</v>
      </c>
    </row>
    <row r="450" spans="26:33">
      <c r="Z450" s="414" t="s">
        <v>611</v>
      </c>
      <c r="AA450" s="414" t="s">
        <v>451</v>
      </c>
      <c r="AB450" s="414" t="s">
        <v>451</v>
      </c>
      <c r="AC450" s="414" t="str">
        <f t="shared" si="6"/>
        <v>SerbiaCoach</v>
      </c>
      <c r="AD450" s="414">
        <v>2023</v>
      </c>
      <c r="AE450" s="414">
        <v>3.3741401342281874E-2</v>
      </c>
      <c r="AF450" s="414" t="s">
        <v>619</v>
      </c>
      <c r="AG450" s="414" t="s">
        <v>506</v>
      </c>
    </row>
    <row r="451" spans="26:33">
      <c r="Z451" s="414" t="s">
        <v>612</v>
      </c>
      <c r="AA451" s="414" t="s">
        <v>448</v>
      </c>
      <c r="AB451" s="414" t="s">
        <v>518</v>
      </c>
      <c r="AC451" s="414" t="str">
        <f t="shared" ref="AC451:AC514" si="7">Z451&amp;AB451</f>
        <v>SlovakiaBus - Average local bus</v>
      </c>
      <c r="AD451" s="414">
        <v>2023</v>
      </c>
      <c r="AE451" s="414">
        <v>0.12708039463087248</v>
      </c>
      <c r="AF451" s="414" t="s">
        <v>619</v>
      </c>
      <c r="AG451" s="414" t="s">
        <v>506</v>
      </c>
    </row>
    <row r="452" spans="26:33">
      <c r="Z452" s="414" t="s">
        <v>612</v>
      </c>
      <c r="AA452" s="414" t="s">
        <v>451</v>
      </c>
      <c r="AB452" s="414" t="s">
        <v>451</v>
      </c>
      <c r="AC452" s="414" t="str">
        <f t="shared" si="7"/>
        <v>SlovakiaCoach</v>
      </c>
      <c r="AD452" s="414">
        <v>2023</v>
      </c>
      <c r="AE452" s="414">
        <v>3.3741401342281874E-2</v>
      </c>
      <c r="AF452" s="414" t="s">
        <v>619</v>
      </c>
      <c r="AG452" s="414" t="s">
        <v>506</v>
      </c>
    </row>
    <row r="453" spans="26:33">
      <c r="Z453" s="414" t="s">
        <v>613</v>
      </c>
      <c r="AA453" s="414" t="s">
        <v>448</v>
      </c>
      <c r="AB453" s="414" t="s">
        <v>518</v>
      </c>
      <c r="AC453" s="414" t="str">
        <f t="shared" si="7"/>
        <v>SloveniaBus - Average local bus</v>
      </c>
      <c r="AD453" s="414">
        <v>2023</v>
      </c>
      <c r="AE453" s="414">
        <v>0.12708039463087248</v>
      </c>
      <c r="AF453" s="414" t="s">
        <v>619</v>
      </c>
      <c r="AG453" s="414" t="s">
        <v>506</v>
      </c>
    </row>
    <row r="454" spans="26:33">
      <c r="Z454" s="414" t="s">
        <v>613</v>
      </c>
      <c r="AA454" s="414" t="s">
        <v>451</v>
      </c>
      <c r="AB454" s="414" t="s">
        <v>451</v>
      </c>
      <c r="AC454" s="414" t="str">
        <f t="shared" si="7"/>
        <v>SloveniaCoach</v>
      </c>
      <c r="AD454" s="414">
        <v>2023</v>
      </c>
      <c r="AE454" s="414">
        <v>3.3741401342281874E-2</v>
      </c>
      <c r="AF454" s="414" t="s">
        <v>619</v>
      </c>
      <c r="AG454" s="414" t="s">
        <v>506</v>
      </c>
    </row>
    <row r="455" spans="26:33">
      <c r="Z455" s="414" t="s">
        <v>614</v>
      </c>
      <c r="AA455" s="414" t="s">
        <v>448</v>
      </c>
      <c r="AB455" s="414" t="s">
        <v>518</v>
      </c>
      <c r="AC455" s="414" t="str">
        <f t="shared" si="7"/>
        <v>SpainBus - Average local bus</v>
      </c>
      <c r="AD455" s="414">
        <v>2023</v>
      </c>
      <c r="AE455" s="414">
        <v>0.12708039463087248</v>
      </c>
      <c r="AF455" s="414" t="s">
        <v>619</v>
      </c>
      <c r="AG455" s="414" t="s">
        <v>506</v>
      </c>
    </row>
    <row r="456" spans="26:33">
      <c r="Z456" s="414" t="s">
        <v>614</v>
      </c>
      <c r="AA456" s="414" t="s">
        <v>451</v>
      </c>
      <c r="AB456" s="414" t="s">
        <v>451</v>
      </c>
      <c r="AC456" s="414" t="str">
        <f t="shared" si="7"/>
        <v>SpainCoach</v>
      </c>
      <c r="AD456" s="414">
        <v>2023</v>
      </c>
      <c r="AE456" s="414">
        <v>3.3741401342281874E-2</v>
      </c>
      <c r="AF456" s="414" t="s">
        <v>619</v>
      </c>
      <c r="AG456" s="414" t="s">
        <v>506</v>
      </c>
    </row>
    <row r="457" spans="26:33">
      <c r="Z457" s="414" t="s">
        <v>615</v>
      </c>
      <c r="AA457" s="414" t="s">
        <v>448</v>
      </c>
      <c r="AB457" s="414" t="s">
        <v>518</v>
      </c>
      <c r="AC457" s="414" t="str">
        <f t="shared" si="7"/>
        <v>SwedenBus - Average local bus</v>
      </c>
      <c r="AD457" s="414">
        <v>2023</v>
      </c>
      <c r="AE457" s="414">
        <v>0.12708039463087248</v>
      </c>
      <c r="AF457" s="414" t="s">
        <v>619</v>
      </c>
      <c r="AG457" s="414" t="s">
        <v>506</v>
      </c>
    </row>
    <row r="458" spans="26:33">
      <c r="Z458" s="414" t="s">
        <v>615</v>
      </c>
      <c r="AA458" s="414" t="s">
        <v>451</v>
      </c>
      <c r="AB458" s="414" t="s">
        <v>451</v>
      </c>
      <c r="AC458" s="414" t="str">
        <f t="shared" si="7"/>
        <v>SwedenCoach</v>
      </c>
      <c r="AD458" s="414">
        <v>2023</v>
      </c>
      <c r="AE458" s="414">
        <v>3.3741401342281874E-2</v>
      </c>
      <c r="AF458" s="414" t="s">
        <v>619</v>
      </c>
      <c r="AG458" s="414" t="s">
        <v>506</v>
      </c>
    </row>
    <row r="459" spans="26:33">
      <c r="Z459" s="414" t="s">
        <v>616</v>
      </c>
      <c r="AA459" s="414" t="s">
        <v>448</v>
      </c>
      <c r="AB459" s="414" t="s">
        <v>518</v>
      </c>
      <c r="AC459" s="414" t="str">
        <f t="shared" si="7"/>
        <v>SwitzerlandBus - Average local bus</v>
      </c>
      <c r="AD459" s="414">
        <v>2023</v>
      </c>
      <c r="AE459" s="414">
        <v>0.12708039463087248</v>
      </c>
      <c r="AF459" s="414" t="s">
        <v>619</v>
      </c>
      <c r="AG459" s="414" t="s">
        <v>506</v>
      </c>
    </row>
    <row r="460" spans="26:33">
      <c r="Z460" s="414" t="s">
        <v>616</v>
      </c>
      <c r="AA460" s="414" t="s">
        <v>451</v>
      </c>
      <c r="AB460" s="414" t="s">
        <v>451</v>
      </c>
      <c r="AC460" s="414" t="str">
        <f t="shared" si="7"/>
        <v>SwitzerlandCoach</v>
      </c>
      <c r="AD460" s="414">
        <v>2023</v>
      </c>
      <c r="AE460" s="414">
        <v>3.3741401342281874E-2</v>
      </c>
      <c r="AF460" s="414" t="s">
        <v>619</v>
      </c>
      <c r="AG460" s="414" t="s">
        <v>506</v>
      </c>
    </row>
    <row r="461" spans="26:33">
      <c r="Z461" s="414" t="s">
        <v>617</v>
      </c>
      <c r="AA461" s="414" t="s">
        <v>448</v>
      </c>
      <c r="AB461" s="414" t="s">
        <v>518</v>
      </c>
      <c r="AC461" s="414" t="str">
        <f t="shared" si="7"/>
        <v>UkraineBus - Average local bus</v>
      </c>
      <c r="AD461" s="414">
        <v>2023</v>
      </c>
      <c r="AE461" s="414">
        <v>0.12708039463087248</v>
      </c>
      <c r="AF461" s="414" t="s">
        <v>619</v>
      </c>
      <c r="AG461" s="414" t="s">
        <v>506</v>
      </c>
    </row>
    <row r="462" spans="26:33">
      <c r="Z462" s="414" t="s">
        <v>617</v>
      </c>
      <c r="AA462" s="414" t="s">
        <v>451</v>
      </c>
      <c r="AB462" s="414" t="s">
        <v>451</v>
      </c>
      <c r="AC462" s="414" t="str">
        <f t="shared" si="7"/>
        <v>UkraineCoach</v>
      </c>
      <c r="AD462" s="414">
        <v>2023</v>
      </c>
      <c r="AE462" s="414">
        <v>3.3741401342281874E-2</v>
      </c>
      <c r="AF462" s="414" t="s">
        <v>619</v>
      </c>
      <c r="AG462" s="414" t="s">
        <v>506</v>
      </c>
    </row>
    <row r="463" spans="26:33">
      <c r="Z463" s="414" t="s">
        <v>618</v>
      </c>
      <c r="AA463" s="414" t="s">
        <v>448</v>
      </c>
      <c r="AB463" s="414" t="s">
        <v>518</v>
      </c>
      <c r="AC463" s="414" t="str">
        <f t="shared" si="7"/>
        <v>United KingdomBus - Average local bus</v>
      </c>
      <c r="AD463" s="414">
        <v>2023</v>
      </c>
      <c r="AE463" s="414">
        <v>0.12708039463087248</v>
      </c>
      <c r="AF463" s="414" t="s">
        <v>619</v>
      </c>
      <c r="AG463" s="414" t="s">
        <v>506</v>
      </c>
    </row>
    <row r="464" spans="26:33">
      <c r="Z464" s="414" t="s">
        <v>618</v>
      </c>
      <c r="AA464" s="414" t="s">
        <v>451</v>
      </c>
      <c r="AB464" s="414" t="s">
        <v>451</v>
      </c>
      <c r="AC464" s="414" t="str">
        <f t="shared" si="7"/>
        <v>United KingdomCoach</v>
      </c>
      <c r="AD464" s="414">
        <v>2023</v>
      </c>
      <c r="AE464" s="414">
        <v>3.3741401342281874E-2</v>
      </c>
      <c r="AF464" s="414" t="s">
        <v>619</v>
      </c>
      <c r="AG464" s="414" t="s">
        <v>506</v>
      </c>
    </row>
    <row r="465" spans="26:33">
      <c r="Z465" s="414" t="s">
        <v>492</v>
      </c>
      <c r="AA465" s="414" t="s">
        <v>455</v>
      </c>
      <c r="AB465" s="414" t="s">
        <v>455</v>
      </c>
      <c r="AC465" s="414" t="str">
        <f t="shared" si="7"/>
        <v>AlbaniaMotorbike</v>
      </c>
      <c r="AD465" s="414">
        <v>2023</v>
      </c>
      <c r="AE465" s="414">
        <v>0.14319999999999999</v>
      </c>
      <c r="AF465" s="414" t="s">
        <v>625</v>
      </c>
      <c r="AG465" s="414" t="s">
        <v>506</v>
      </c>
    </row>
    <row r="466" spans="26:33">
      <c r="Z466" s="414" t="s">
        <v>504</v>
      </c>
      <c r="AA466" s="414" t="s">
        <v>455</v>
      </c>
      <c r="AB466" s="414" t="s">
        <v>455</v>
      </c>
      <c r="AC466" s="414" t="str">
        <f t="shared" si="7"/>
        <v>AndorraMotorbike</v>
      </c>
      <c r="AD466" s="414">
        <v>2023</v>
      </c>
      <c r="AE466" s="414">
        <v>0.14319999999999999</v>
      </c>
      <c r="AF466" s="414" t="s">
        <v>625</v>
      </c>
      <c r="AG466" s="414" t="s">
        <v>506</v>
      </c>
    </row>
    <row r="467" spans="26:33">
      <c r="Z467" s="414" t="s">
        <v>513</v>
      </c>
      <c r="AA467" s="414" t="s">
        <v>455</v>
      </c>
      <c r="AB467" s="414" t="s">
        <v>455</v>
      </c>
      <c r="AC467" s="414" t="str">
        <f t="shared" si="7"/>
        <v>AustriaMotorbike</v>
      </c>
      <c r="AD467" s="414">
        <v>2023</v>
      </c>
      <c r="AE467" s="414">
        <v>0.14319999999999999</v>
      </c>
      <c r="AF467" s="414" t="s">
        <v>625</v>
      </c>
      <c r="AG467" s="414" t="s">
        <v>506</v>
      </c>
    </row>
    <row r="468" spans="26:33">
      <c r="Z468" s="414" t="s">
        <v>519</v>
      </c>
      <c r="AA468" s="414" t="s">
        <v>455</v>
      </c>
      <c r="AB468" s="414" t="s">
        <v>455</v>
      </c>
      <c r="AC468" s="414" t="str">
        <f t="shared" si="7"/>
        <v>BelarusMotorbike</v>
      </c>
      <c r="AD468" s="414">
        <v>2023</v>
      </c>
      <c r="AE468" s="414">
        <v>0.14319999999999999</v>
      </c>
      <c r="AF468" s="414" t="s">
        <v>625</v>
      </c>
      <c r="AG468" s="414" t="s">
        <v>506</v>
      </c>
    </row>
    <row r="469" spans="26:33">
      <c r="Z469" s="414" t="s">
        <v>525</v>
      </c>
      <c r="AA469" s="414" t="s">
        <v>455</v>
      </c>
      <c r="AB469" s="414" t="s">
        <v>455</v>
      </c>
      <c r="AC469" s="414" t="str">
        <f t="shared" si="7"/>
        <v>BelgiumMotorbike</v>
      </c>
      <c r="AD469" s="414">
        <v>2023</v>
      </c>
      <c r="AE469" s="423">
        <v>1.6E-2</v>
      </c>
      <c r="AF469" s="414" t="s">
        <v>625</v>
      </c>
      <c r="AG469" s="414" t="s">
        <v>526</v>
      </c>
    </row>
    <row r="470" spans="26:33">
      <c r="Z470" s="414" t="s">
        <v>530</v>
      </c>
      <c r="AA470" s="414" t="s">
        <v>455</v>
      </c>
      <c r="AB470" s="414" t="s">
        <v>455</v>
      </c>
      <c r="AC470" s="414" t="str">
        <f t="shared" si="7"/>
        <v>Bosnia and HerzegovinaMotorbike</v>
      </c>
      <c r="AD470" s="414">
        <v>2023</v>
      </c>
      <c r="AE470" s="414">
        <v>0.14319999999999999</v>
      </c>
      <c r="AF470" s="414" t="s">
        <v>625</v>
      </c>
      <c r="AG470" s="414" t="s">
        <v>506</v>
      </c>
    </row>
    <row r="471" spans="26:33">
      <c r="Z471" s="414" t="s">
        <v>534</v>
      </c>
      <c r="AA471" s="414" t="s">
        <v>455</v>
      </c>
      <c r="AB471" s="414" t="s">
        <v>455</v>
      </c>
      <c r="AC471" s="414" t="str">
        <f t="shared" si="7"/>
        <v>BulgariaMotorbike</v>
      </c>
      <c r="AD471" s="414">
        <v>2023</v>
      </c>
      <c r="AE471" s="414">
        <v>0.14319999999999999</v>
      </c>
      <c r="AF471" s="414" t="s">
        <v>625</v>
      </c>
      <c r="AG471" s="414" t="s">
        <v>506</v>
      </c>
    </row>
    <row r="472" spans="26:33">
      <c r="Z472" s="414" t="s">
        <v>538</v>
      </c>
      <c r="AA472" s="414" t="s">
        <v>455</v>
      </c>
      <c r="AB472" s="414" t="s">
        <v>455</v>
      </c>
      <c r="AC472" s="414" t="str">
        <f t="shared" si="7"/>
        <v>CroatiaMotorbike</v>
      </c>
      <c r="AD472" s="414">
        <v>2023</v>
      </c>
      <c r="AE472" s="414">
        <v>0.14319999999999999</v>
      </c>
      <c r="AF472" s="414" t="s">
        <v>625</v>
      </c>
      <c r="AG472" s="414" t="s">
        <v>506</v>
      </c>
    </row>
    <row r="473" spans="26:33">
      <c r="Z473" s="414" t="s">
        <v>542</v>
      </c>
      <c r="AA473" s="414" t="s">
        <v>455</v>
      </c>
      <c r="AB473" s="414" t="s">
        <v>455</v>
      </c>
      <c r="AC473" s="414" t="str">
        <f t="shared" si="7"/>
        <v>CzechiaMotorbike</v>
      </c>
      <c r="AD473" s="414">
        <v>2023</v>
      </c>
      <c r="AE473" s="414">
        <v>0.14319999999999999</v>
      </c>
      <c r="AF473" s="414" t="s">
        <v>625</v>
      </c>
      <c r="AG473" s="414" t="s">
        <v>506</v>
      </c>
    </row>
    <row r="474" spans="26:33">
      <c r="Z474" s="414" t="s">
        <v>545</v>
      </c>
      <c r="AA474" s="414" t="s">
        <v>455</v>
      </c>
      <c r="AB474" s="414" t="s">
        <v>455</v>
      </c>
      <c r="AC474" s="414" t="str">
        <f t="shared" si="7"/>
        <v>DenmarkMotorbike</v>
      </c>
      <c r="AD474" s="414">
        <v>2023</v>
      </c>
      <c r="AE474" s="414">
        <v>0.14319999999999999</v>
      </c>
      <c r="AF474" s="414" t="s">
        <v>625</v>
      </c>
      <c r="AG474" s="414" t="s">
        <v>506</v>
      </c>
    </row>
    <row r="475" spans="26:33">
      <c r="Z475" s="414" t="s">
        <v>550</v>
      </c>
      <c r="AA475" s="414" t="s">
        <v>455</v>
      </c>
      <c r="AB475" s="414" t="s">
        <v>455</v>
      </c>
      <c r="AC475" s="414" t="str">
        <f t="shared" si="7"/>
        <v>EstoniaMotorbike</v>
      </c>
      <c r="AD475" s="414">
        <v>2023</v>
      </c>
      <c r="AE475" s="414">
        <v>0.14319999999999999</v>
      </c>
      <c r="AF475" s="414" t="s">
        <v>625</v>
      </c>
      <c r="AG475" s="414" t="s">
        <v>506</v>
      </c>
    </row>
    <row r="476" spans="26:33">
      <c r="Z476" s="414" t="s">
        <v>555</v>
      </c>
      <c r="AA476" s="414" t="s">
        <v>455</v>
      </c>
      <c r="AB476" s="414" t="s">
        <v>455</v>
      </c>
      <c r="AC476" s="414" t="str">
        <f t="shared" si="7"/>
        <v>FinlandMotorbike</v>
      </c>
      <c r="AD476" s="414">
        <v>2023</v>
      </c>
      <c r="AE476" s="414">
        <v>0.14319999999999999</v>
      </c>
      <c r="AF476" s="414" t="s">
        <v>625</v>
      </c>
      <c r="AG476" s="414" t="s">
        <v>506</v>
      </c>
    </row>
    <row r="477" spans="26:33">
      <c r="Z477" s="414" t="s">
        <v>560</v>
      </c>
      <c r="AA477" s="414" t="s">
        <v>455</v>
      </c>
      <c r="AB477" s="414" t="s">
        <v>455</v>
      </c>
      <c r="AC477" s="414" t="str">
        <f t="shared" si="7"/>
        <v>FranceMotorbike</v>
      </c>
      <c r="AD477" s="414">
        <v>2018</v>
      </c>
      <c r="AE477" s="414">
        <v>0.184</v>
      </c>
      <c r="AF477" s="414" t="s">
        <v>625</v>
      </c>
      <c r="AG477" s="414" t="s">
        <v>495</v>
      </c>
    </row>
    <row r="478" spans="26:33">
      <c r="Z478" s="414" t="s">
        <v>565</v>
      </c>
      <c r="AA478" s="414" t="s">
        <v>455</v>
      </c>
      <c r="AB478" s="414" t="s">
        <v>455</v>
      </c>
      <c r="AC478" s="414" t="str">
        <f t="shared" si="7"/>
        <v>GermanyMotorbike</v>
      </c>
      <c r="AD478" s="414">
        <v>2023</v>
      </c>
      <c r="AE478" s="414">
        <v>0.14319999999999999</v>
      </c>
      <c r="AF478" s="414" t="s">
        <v>625</v>
      </c>
      <c r="AG478" s="414" t="s">
        <v>506</v>
      </c>
    </row>
    <row r="479" spans="26:33">
      <c r="Z479" s="414" t="s">
        <v>570</v>
      </c>
      <c r="AA479" s="414" t="s">
        <v>455</v>
      </c>
      <c r="AB479" s="414" t="s">
        <v>455</v>
      </c>
      <c r="AC479" s="414" t="str">
        <f t="shared" si="7"/>
        <v>GreeceMotorbike</v>
      </c>
      <c r="AD479" s="414">
        <v>2023</v>
      </c>
      <c r="AE479" s="414">
        <v>0.14319999999999999</v>
      </c>
      <c r="AF479" s="414" t="s">
        <v>625</v>
      </c>
      <c r="AG479" s="414" t="s">
        <v>506</v>
      </c>
    </row>
    <row r="480" spans="26:33">
      <c r="Z480" s="414" t="s">
        <v>575</v>
      </c>
      <c r="AA480" s="414" t="s">
        <v>455</v>
      </c>
      <c r="AB480" s="414" t="s">
        <v>455</v>
      </c>
      <c r="AC480" s="414" t="str">
        <f t="shared" si="7"/>
        <v>HungaryMotorbike</v>
      </c>
      <c r="AD480" s="414">
        <v>2023</v>
      </c>
      <c r="AE480" s="414">
        <v>0.14319999999999999</v>
      </c>
      <c r="AF480" s="414" t="s">
        <v>625</v>
      </c>
      <c r="AG480" s="414" t="s">
        <v>506</v>
      </c>
    </row>
    <row r="481" spans="26:33">
      <c r="Z481" s="414" t="s">
        <v>579</v>
      </c>
      <c r="AA481" s="414" t="s">
        <v>455</v>
      </c>
      <c r="AB481" s="414" t="s">
        <v>455</v>
      </c>
      <c r="AC481" s="414" t="str">
        <f t="shared" si="7"/>
        <v>IcelandMotorbike</v>
      </c>
      <c r="AD481" s="414">
        <v>2023</v>
      </c>
      <c r="AE481" s="414">
        <v>0.14319999999999999</v>
      </c>
      <c r="AF481" s="414" t="s">
        <v>625</v>
      </c>
      <c r="AG481" s="414" t="s">
        <v>506</v>
      </c>
    </row>
    <row r="482" spans="26:33">
      <c r="Z482" s="414" t="s">
        <v>583</v>
      </c>
      <c r="AA482" s="414" t="s">
        <v>455</v>
      </c>
      <c r="AB482" s="414" t="s">
        <v>455</v>
      </c>
      <c r="AC482" s="414" t="str">
        <f t="shared" si="7"/>
        <v>IrelandMotorbike</v>
      </c>
      <c r="AD482" s="414">
        <v>2023</v>
      </c>
      <c r="AE482" s="414">
        <v>0.14319999999999999</v>
      </c>
      <c r="AF482" s="414" t="s">
        <v>625</v>
      </c>
      <c r="AG482" s="414" t="s">
        <v>506</v>
      </c>
    </row>
    <row r="483" spans="26:33">
      <c r="Z483" s="414" t="s">
        <v>585</v>
      </c>
      <c r="AA483" s="414" t="s">
        <v>455</v>
      </c>
      <c r="AB483" s="414" t="s">
        <v>455</v>
      </c>
      <c r="AC483" s="414" t="str">
        <f t="shared" si="7"/>
        <v>ItalyMotorbike</v>
      </c>
      <c r="AD483" s="414">
        <v>2023</v>
      </c>
      <c r="AE483" s="414">
        <v>0.14319999999999999</v>
      </c>
      <c r="AF483" s="414" t="s">
        <v>625</v>
      </c>
      <c r="AG483" s="414" t="s">
        <v>506</v>
      </c>
    </row>
    <row r="484" spans="26:33">
      <c r="Z484" s="414" t="s">
        <v>587</v>
      </c>
      <c r="AA484" s="414" t="s">
        <v>455</v>
      </c>
      <c r="AB484" s="414" t="s">
        <v>455</v>
      </c>
      <c r="AC484" s="414" t="str">
        <f t="shared" si="7"/>
        <v>LatviaMotorbike</v>
      </c>
      <c r="AD484" s="414">
        <v>2023</v>
      </c>
      <c r="AE484" s="414">
        <v>0.14319999999999999</v>
      </c>
      <c r="AF484" s="414" t="s">
        <v>625</v>
      </c>
      <c r="AG484" s="414" t="s">
        <v>506</v>
      </c>
    </row>
    <row r="485" spans="26:33">
      <c r="Z485" s="414" t="s">
        <v>589</v>
      </c>
      <c r="AA485" s="414" t="s">
        <v>455</v>
      </c>
      <c r="AB485" s="414" t="s">
        <v>455</v>
      </c>
      <c r="AC485" s="414" t="str">
        <f t="shared" si="7"/>
        <v>LiechtensteinMotorbike</v>
      </c>
      <c r="AD485" s="414">
        <v>2023</v>
      </c>
      <c r="AE485" s="414">
        <v>0.14319999999999999</v>
      </c>
      <c r="AF485" s="414" t="s">
        <v>625</v>
      </c>
      <c r="AG485" s="414" t="s">
        <v>506</v>
      </c>
    </row>
    <row r="486" spans="26:33">
      <c r="Z486" s="414" t="s">
        <v>591</v>
      </c>
      <c r="AA486" s="414" t="s">
        <v>455</v>
      </c>
      <c r="AB486" s="414" t="s">
        <v>455</v>
      </c>
      <c r="AC486" s="414" t="str">
        <f t="shared" si="7"/>
        <v>LithuaniaMotorbike</v>
      </c>
      <c r="AD486" s="414">
        <v>2023</v>
      </c>
      <c r="AE486" s="414">
        <v>0.14319999999999999</v>
      </c>
      <c r="AF486" s="414" t="s">
        <v>625</v>
      </c>
      <c r="AG486" s="414" t="s">
        <v>506</v>
      </c>
    </row>
    <row r="487" spans="26:33">
      <c r="Z487" s="414" t="s">
        <v>594</v>
      </c>
      <c r="AA487" s="414" t="s">
        <v>455</v>
      </c>
      <c r="AB487" s="414" t="s">
        <v>455</v>
      </c>
      <c r="AC487" s="414" t="str">
        <f t="shared" si="7"/>
        <v>LuxembourgMotorbike</v>
      </c>
      <c r="AD487" s="414">
        <v>2023</v>
      </c>
      <c r="AE487" s="414">
        <v>0.14319999999999999</v>
      </c>
      <c r="AF487" s="414" t="s">
        <v>625</v>
      </c>
      <c r="AG487" s="414" t="s">
        <v>506</v>
      </c>
    </row>
    <row r="488" spans="26:33">
      <c r="Z488" s="414" t="s">
        <v>596</v>
      </c>
      <c r="AA488" s="414" t="s">
        <v>455</v>
      </c>
      <c r="AB488" s="414" t="s">
        <v>455</v>
      </c>
      <c r="AC488" s="414" t="str">
        <f t="shared" si="7"/>
        <v>MaltaMotorbike</v>
      </c>
      <c r="AD488" s="414">
        <v>2023</v>
      </c>
      <c r="AE488" s="414">
        <v>0.14319999999999999</v>
      </c>
      <c r="AF488" s="414" t="s">
        <v>625</v>
      </c>
      <c r="AG488" s="414" t="s">
        <v>506</v>
      </c>
    </row>
    <row r="489" spans="26:33">
      <c r="Z489" s="414" t="s">
        <v>598</v>
      </c>
      <c r="AA489" s="414" t="s">
        <v>455</v>
      </c>
      <c r="AB489" s="414" t="s">
        <v>455</v>
      </c>
      <c r="AC489" s="414" t="str">
        <f t="shared" si="7"/>
        <v>MoldovaMotorbike</v>
      </c>
      <c r="AD489" s="414">
        <v>2023</v>
      </c>
      <c r="AE489" s="414">
        <v>0.14319999999999999</v>
      </c>
      <c r="AF489" s="414" t="s">
        <v>625</v>
      </c>
      <c r="AG489" s="414" t="s">
        <v>506</v>
      </c>
    </row>
    <row r="490" spans="26:33">
      <c r="Z490" s="414" t="s">
        <v>600</v>
      </c>
      <c r="AA490" s="414" t="s">
        <v>455</v>
      </c>
      <c r="AB490" s="414" t="s">
        <v>455</v>
      </c>
      <c r="AC490" s="414" t="str">
        <f t="shared" si="7"/>
        <v>MonacoMotorbike</v>
      </c>
      <c r="AD490" s="414">
        <v>2023</v>
      </c>
      <c r="AE490" s="414">
        <v>0.14319999999999999</v>
      </c>
      <c r="AF490" s="414" t="s">
        <v>625</v>
      </c>
      <c r="AG490" s="414" t="s">
        <v>506</v>
      </c>
    </row>
    <row r="491" spans="26:33">
      <c r="Z491" s="414" t="s">
        <v>602</v>
      </c>
      <c r="AA491" s="414" t="s">
        <v>455</v>
      </c>
      <c r="AB491" s="414" t="s">
        <v>455</v>
      </c>
      <c r="AC491" s="414" t="str">
        <f t="shared" si="7"/>
        <v>MontenegroMotorbike</v>
      </c>
      <c r="AD491" s="414">
        <v>2023</v>
      </c>
      <c r="AE491" s="414">
        <v>0.14319999999999999</v>
      </c>
      <c r="AF491" s="414" t="s">
        <v>625</v>
      </c>
      <c r="AG491" s="414" t="s">
        <v>506</v>
      </c>
    </row>
    <row r="492" spans="26:33">
      <c r="Z492" s="414" t="s">
        <v>603</v>
      </c>
      <c r="AA492" s="414" t="s">
        <v>455</v>
      </c>
      <c r="AB492" s="414" t="s">
        <v>455</v>
      </c>
      <c r="AC492" s="414" t="str">
        <f t="shared" si="7"/>
        <v>NetherlandsMotorbike</v>
      </c>
      <c r="AD492" s="414">
        <v>2024</v>
      </c>
      <c r="AE492" s="414">
        <v>0.08</v>
      </c>
      <c r="AF492" s="414" t="s">
        <v>625</v>
      </c>
      <c r="AG492" s="414" t="s">
        <v>604</v>
      </c>
    </row>
    <row r="493" spans="26:33">
      <c r="Z493" s="414" t="s">
        <v>605</v>
      </c>
      <c r="AA493" s="414" t="s">
        <v>455</v>
      </c>
      <c r="AB493" s="414" t="s">
        <v>455</v>
      </c>
      <c r="AC493" s="414" t="str">
        <f t="shared" si="7"/>
        <v>North MacedoniaMotorbike</v>
      </c>
      <c r="AD493" s="414">
        <v>2023</v>
      </c>
      <c r="AE493" s="414">
        <v>0.14319999999999999</v>
      </c>
      <c r="AF493" s="414" t="s">
        <v>625</v>
      </c>
      <c r="AG493" s="414" t="s">
        <v>506</v>
      </c>
    </row>
    <row r="494" spans="26:33">
      <c r="Z494" s="414" t="s">
        <v>606</v>
      </c>
      <c r="AA494" s="414" t="s">
        <v>455</v>
      </c>
      <c r="AB494" s="414" t="s">
        <v>455</v>
      </c>
      <c r="AC494" s="414" t="str">
        <f t="shared" si="7"/>
        <v>NorwayMotorbike</v>
      </c>
      <c r="AD494" s="414">
        <v>2023</v>
      </c>
      <c r="AE494" s="414">
        <v>0.14319999999999999</v>
      </c>
      <c r="AF494" s="414" t="s">
        <v>625</v>
      </c>
      <c r="AG494" s="414" t="s">
        <v>506</v>
      </c>
    </row>
    <row r="495" spans="26:33">
      <c r="Z495" s="414" t="s">
        <v>607</v>
      </c>
      <c r="AA495" s="414" t="s">
        <v>455</v>
      </c>
      <c r="AB495" s="414" t="s">
        <v>455</v>
      </c>
      <c r="AC495" s="414" t="str">
        <f t="shared" si="7"/>
        <v>PolandMotorbike</v>
      </c>
      <c r="AD495" s="414">
        <v>2023</v>
      </c>
      <c r="AE495" s="414">
        <v>0.14319999999999999</v>
      </c>
      <c r="AF495" s="414" t="s">
        <v>625</v>
      </c>
      <c r="AG495" s="414" t="s">
        <v>506</v>
      </c>
    </row>
    <row r="496" spans="26:33">
      <c r="Z496" s="414" t="s">
        <v>608</v>
      </c>
      <c r="AA496" s="414" t="s">
        <v>455</v>
      </c>
      <c r="AB496" s="414" t="s">
        <v>455</v>
      </c>
      <c r="AC496" s="414" t="str">
        <f t="shared" si="7"/>
        <v>PortugalMotorbike</v>
      </c>
      <c r="AD496" s="414">
        <v>2023</v>
      </c>
      <c r="AE496" s="414">
        <v>0.14319999999999999</v>
      </c>
      <c r="AF496" s="414" t="s">
        <v>625</v>
      </c>
      <c r="AG496" s="414" t="s">
        <v>506</v>
      </c>
    </row>
    <row r="497" spans="26:33">
      <c r="Z497" s="414" t="s">
        <v>609</v>
      </c>
      <c r="AA497" s="414" t="s">
        <v>455</v>
      </c>
      <c r="AB497" s="414" t="s">
        <v>455</v>
      </c>
      <c r="AC497" s="414" t="str">
        <f t="shared" si="7"/>
        <v>RomaniaMotorbike</v>
      </c>
      <c r="AD497" s="414">
        <v>2023</v>
      </c>
      <c r="AE497" s="414">
        <v>0.14319999999999999</v>
      </c>
      <c r="AF497" s="414" t="s">
        <v>625</v>
      </c>
      <c r="AG497" s="414" t="s">
        <v>506</v>
      </c>
    </row>
    <row r="498" spans="26:33">
      <c r="Z498" s="414" t="s">
        <v>610</v>
      </c>
      <c r="AA498" s="414" t="s">
        <v>455</v>
      </c>
      <c r="AB498" s="414" t="s">
        <v>455</v>
      </c>
      <c r="AC498" s="414" t="str">
        <f t="shared" si="7"/>
        <v>San MarinoMotorbike</v>
      </c>
      <c r="AD498" s="414">
        <v>2023</v>
      </c>
      <c r="AE498" s="414">
        <v>0.14319999999999999</v>
      </c>
      <c r="AF498" s="414" t="s">
        <v>625</v>
      </c>
      <c r="AG498" s="414" t="s">
        <v>506</v>
      </c>
    </row>
    <row r="499" spans="26:33">
      <c r="Z499" s="414" t="s">
        <v>611</v>
      </c>
      <c r="AA499" s="414" t="s">
        <v>455</v>
      </c>
      <c r="AB499" s="414" t="s">
        <v>455</v>
      </c>
      <c r="AC499" s="414" t="str">
        <f t="shared" si="7"/>
        <v>SerbiaMotorbike</v>
      </c>
      <c r="AD499" s="414">
        <v>2023</v>
      </c>
      <c r="AE499" s="414">
        <v>0.14319999999999999</v>
      </c>
      <c r="AF499" s="414" t="s">
        <v>625</v>
      </c>
      <c r="AG499" s="414" t="s">
        <v>506</v>
      </c>
    </row>
    <row r="500" spans="26:33">
      <c r="Z500" s="414" t="s">
        <v>612</v>
      </c>
      <c r="AA500" s="414" t="s">
        <v>455</v>
      </c>
      <c r="AB500" s="414" t="s">
        <v>455</v>
      </c>
      <c r="AC500" s="414" t="str">
        <f t="shared" si="7"/>
        <v>SlovakiaMotorbike</v>
      </c>
      <c r="AD500" s="414">
        <v>2023</v>
      </c>
      <c r="AE500" s="414">
        <v>0.14319999999999999</v>
      </c>
      <c r="AF500" s="414" t="s">
        <v>625</v>
      </c>
      <c r="AG500" s="414" t="s">
        <v>506</v>
      </c>
    </row>
    <row r="501" spans="26:33">
      <c r="Z501" s="414" t="s">
        <v>613</v>
      </c>
      <c r="AA501" s="414" t="s">
        <v>455</v>
      </c>
      <c r="AB501" s="414" t="s">
        <v>455</v>
      </c>
      <c r="AC501" s="414" t="str">
        <f t="shared" si="7"/>
        <v>SloveniaMotorbike</v>
      </c>
      <c r="AD501" s="414">
        <v>2023</v>
      </c>
      <c r="AE501" s="414">
        <v>0.14319999999999999</v>
      </c>
      <c r="AF501" s="414" t="s">
        <v>625</v>
      </c>
      <c r="AG501" s="414" t="s">
        <v>506</v>
      </c>
    </row>
    <row r="502" spans="26:33">
      <c r="Z502" s="414" t="s">
        <v>614</v>
      </c>
      <c r="AA502" s="414" t="s">
        <v>455</v>
      </c>
      <c r="AB502" s="414" t="s">
        <v>455</v>
      </c>
      <c r="AC502" s="414" t="str">
        <f t="shared" si="7"/>
        <v>SpainMotorbike</v>
      </c>
      <c r="AD502" s="414">
        <v>2023</v>
      </c>
      <c r="AE502" s="414">
        <v>0.14319999999999999</v>
      </c>
      <c r="AF502" s="414" t="s">
        <v>625</v>
      </c>
      <c r="AG502" s="414" t="s">
        <v>506</v>
      </c>
    </row>
    <row r="503" spans="26:33">
      <c r="Z503" s="414" t="s">
        <v>615</v>
      </c>
      <c r="AA503" s="414" t="s">
        <v>455</v>
      </c>
      <c r="AB503" s="414" t="s">
        <v>455</v>
      </c>
      <c r="AC503" s="414" t="str">
        <f t="shared" si="7"/>
        <v>SwedenMotorbike</v>
      </c>
      <c r="AD503" s="414">
        <v>2023</v>
      </c>
      <c r="AE503" s="414">
        <v>0.14319999999999999</v>
      </c>
      <c r="AF503" s="414" t="s">
        <v>625</v>
      </c>
      <c r="AG503" s="414" t="s">
        <v>506</v>
      </c>
    </row>
    <row r="504" spans="26:33">
      <c r="Z504" s="414" t="s">
        <v>616</v>
      </c>
      <c r="AA504" s="414" t="s">
        <v>455</v>
      </c>
      <c r="AB504" s="414" t="s">
        <v>455</v>
      </c>
      <c r="AC504" s="414" t="str">
        <f t="shared" si="7"/>
        <v>SwitzerlandMotorbike</v>
      </c>
      <c r="AD504" s="414">
        <v>2023</v>
      </c>
      <c r="AE504" s="414">
        <v>0.14319999999999999</v>
      </c>
      <c r="AF504" s="414" t="s">
        <v>625</v>
      </c>
      <c r="AG504" s="414" t="s">
        <v>506</v>
      </c>
    </row>
    <row r="505" spans="26:33">
      <c r="Z505" s="414" t="s">
        <v>617</v>
      </c>
      <c r="AA505" s="414" t="s">
        <v>455</v>
      </c>
      <c r="AB505" s="414" t="s">
        <v>455</v>
      </c>
      <c r="AC505" s="414" t="str">
        <f t="shared" si="7"/>
        <v>UkraineMotorbike</v>
      </c>
      <c r="AD505" s="414">
        <v>2023</v>
      </c>
      <c r="AE505" s="414">
        <v>0.14319999999999999</v>
      </c>
      <c r="AF505" s="414" t="s">
        <v>625</v>
      </c>
      <c r="AG505" s="414" t="s">
        <v>506</v>
      </c>
    </row>
    <row r="506" spans="26:33">
      <c r="Z506" s="414" t="s">
        <v>618</v>
      </c>
      <c r="AA506" s="414" t="s">
        <v>455</v>
      </c>
      <c r="AB506" s="414" t="s">
        <v>455</v>
      </c>
      <c r="AC506" s="414" t="str">
        <f t="shared" si="7"/>
        <v>United KingdomMotorbike</v>
      </c>
      <c r="AD506" s="414">
        <v>2023</v>
      </c>
      <c r="AE506" s="414">
        <v>0.14319999999999999</v>
      </c>
      <c r="AF506" s="414" t="s">
        <v>625</v>
      </c>
      <c r="AG506" s="414" t="s">
        <v>506</v>
      </c>
    </row>
    <row r="507" spans="26:33">
      <c r="Z507" s="414" t="s">
        <v>492</v>
      </c>
      <c r="AA507" s="414" t="s">
        <v>456</v>
      </c>
      <c r="AB507" s="414" t="s">
        <v>456</v>
      </c>
      <c r="AC507" s="414" t="str">
        <f t="shared" si="7"/>
        <v>AlbaniaTaxi</v>
      </c>
      <c r="AD507" s="414">
        <v>2023</v>
      </c>
      <c r="AE507" s="414">
        <v>0.18558579717095777</v>
      </c>
      <c r="AF507" s="414" t="s">
        <v>619</v>
      </c>
      <c r="AG507" s="414" t="s">
        <v>506</v>
      </c>
    </row>
    <row r="508" spans="26:33">
      <c r="Z508" s="414" t="s">
        <v>504</v>
      </c>
      <c r="AA508" s="414" t="s">
        <v>456</v>
      </c>
      <c r="AB508" s="414" t="s">
        <v>456</v>
      </c>
      <c r="AC508" s="414" t="str">
        <f t="shared" si="7"/>
        <v>AndorraTaxi</v>
      </c>
      <c r="AD508" s="414">
        <v>2023</v>
      </c>
      <c r="AE508" s="414">
        <v>0.18558579717095777</v>
      </c>
      <c r="AF508" s="414" t="s">
        <v>619</v>
      </c>
      <c r="AG508" s="414" t="s">
        <v>506</v>
      </c>
    </row>
    <row r="509" spans="26:33">
      <c r="Z509" s="414" t="s">
        <v>513</v>
      </c>
      <c r="AA509" s="414" t="s">
        <v>456</v>
      </c>
      <c r="AB509" s="414" t="s">
        <v>456</v>
      </c>
      <c r="AC509" s="414" t="str">
        <f t="shared" si="7"/>
        <v>AustriaTaxi</v>
      </c>
      <c r="AD509" s="414">
        <v>2023</v>
      </c>
      <c r="AE509" s="414">
        <v>0.18558579717095777</v>
      </c>
      <c r="AF509" s="414" t="s">
        <v>619</v>
      </c>
      <c r="AG509" s="414" t="s">
        <v>506</v>
      </c>
    </row>
    <row r="510" spans="26:33">
      <c r="Z510" s="414" t="s">
        <v>519</v>
      </c>
      <c r="AA510" s="414" t="s">
        <v>456</v>
      </c>
      <c r="AB510" s="414" t="s">
        <v>456</v>
      </c>
      <c r="AC510" s="414" t="str">
        <f t="shared" si="7"/>
        <v>BelarusTaxi</v>
      </c>
      <c r="AD510" s="414">
        <v>2023</v>
      </c>
      <c r="AE510" s="414">
        <v>0.18558579717095777</v>
      </c>
      <c r="AF510" s="414" t="s">
        <v>619</v>
      </c>
      <c r="AG510" s="414" t="s">
        <v>506</v>
      </c>
    </row>
    <row r="511" spans="26:33">
      <c r="Z511" s="414" t="s">
        <v>525</v>
      </c>
      <c r="AA511" s="414" t="s">
        <v>456</v>
      </c>
      <c r="AB511" s="414" t="s">
        <v>456</v>
      </c>
      <c r="AC511" s="414" t="str">
        <f t="shared" si="7"/>
        <v>BelgiumTaxi</v>
      </c>
      <c r="AD511" s="414">
        <v>2023</v>
      </c>
      <c r="AE511" s="414">
        <v>0.18558579717095777</v>
      </c>
      <c r="AF511" s="414" t="s">
        <v>619</v>
      </c>
      <c r="AG511" s="414" t="s">
        <v>506</v>
      </c>
    </row>
    <row r="512" spans="26:33">
      <c r="Z512" s="414" t="s">
        <v>530</v>
      </c>
      <c r="AA512" s="414" t="s">
        <v>456</v>
      </c>
      <c r="AB512" s="414" t="s">
        <v>456</v>
      </c>
      <c r="AC512" s="414" t="str">
        <f t="shared" si="7"/>
        <v>Bosnia and HerzegovinaTaxi</v>
      </c>
      <c r="AD512" s="414">
        <v>2023</v>
      </c>
      <c r="AE512" s="414">
        <v>0.18558579717095777</v>
      </c>
      <c r="AF512" s="414" t="s">
        <v>619</v>
      </c>
      <c r="AG512" s="414" t="s">
        <v>506</v>
      </c>
    </row>
    <row r="513" spans="26:33">
      <c r="Z513" s="414" t="s">
        <v>534</v>
      </c>
      <c r="AA513" s="414" t="s">
        <v>456</v>
      </c>
      <c r="AB513" s="414" t="s">
        <v>456</v>
      </c>
      <c r="AC513" s="414" t="str">
        <f t="shared" si="7"/>
        <v>BulgariaTaxi</v>
      </c>
      <c r="AD513" s="414">
        <v>2023</v>
      </c>
      <c r="AE513" s="414">
        <v>0.18558579717095777</v>
      </c>
      <c r="AF513" s="414" t="s">
        <v>619</v>
      </c>
      <c r="AG513" s="414" t="s">
        <v>506</v>
      </c>
    </row>
    <row r="514" spans="26:33">
      <c r="Z514" s="414" t="s">
        <v>538</v>
      </c>
      <c r="AA514" s="414" t="s">
        <v>456</v>
      </c>
      <c r="AB514" s="414" t="s">
        <v>456</v>
      </c>
      <c r="AC514" s="414" t="str">
        <f t="shared" si="7"/>
        <v>CroatiaTaxi</v>
      </c>
      <c r="AD514" s="414">
        <v>2023</v>
      </c>
      <c r="AE514" s="414">
        <v>0.18558579717095777</v>
      </c>
      <c r="AF514" s="414" t="s">
        <v>619</v>
      </c>
      <c r="AG514" s="414" t="s">
        <v>506</v>
      </c>
    </row>
    <row r="515" spans="26:33">
      <c r="Z515" s="414" t="s">
        <v>542</v>
      </c>
      <c r="AA515" s="414" t="s">
        <v>456</v>
      </c>
      <c r="AB515" s="414" t="s">
        <v>456</v>
      </c>
      <c r="AC515" s="414" t="str">
        <f t="shared" ref="AC515:AC578" si="8">Z515&amp;AB515</f>
        <v>CzechiaTaxi</v>
      </c>
      <c r="AD515" s="414">
        <v>2023</v>
      </c>
      <c r="AE515" s="414">
        <v>0.18558579717095777</v>
      </c>
      <c r="AF515" s="414" t="s">
        <v>619</v>
      </c>
      <c r="AG515" s="414" t="s">
        <v>506</v>
      </c>
    </row>
    <row r="516" spans="26:33">
      <c r="Z516" s="414" t="s">
        <v>545</v>
      </c>
      <c r="AA516" s="414" t="s">
        <v>456</v>
      </c>
      <c r="AB516" s="414" t="s">
        <v>456</v>
      </c>
      <c r="AC516" s="414" t="str">
        <f t="shared" si="8"/>
        <v>DenmarkTaxi</v>
      </c>
      <c r="AD516" s="414">
        <v>2023</v>
      </c>
      <c r="AE516" s="414">
        <v>0.18558579717095777</v>
      </c>
      <c r="AF516" s="414" t="s">
        <v>619</v>
      </c>
      <c r="AG516" s="414" t="s">
        <v>506</v>
      </c>
    </row>
    <row r="517" spans="26:33">
      <c r="Z517" s="414" t="s">
        <v>550</v>
      </c>
      <c r="AA517" s="414" t="s">
        <v>456</v>
      </c>
      <c r="AB517" s="414" t="s">
        <v>456</v>
      </c>
      <c r="AC517" s="414" t="str">
        <f t="shared" si="8"/>
        <v>EstoniaTaxi</v>
      </c>
      <c r="AD517" s="414">
        <v>2023</v>
      </c>
      <c r="AE517" s="414">
        <v>0.18558579717095777</v>
      </c>
      <c r="AF517" s="414" t="s">
        <v>619</v>
      </c>
      <c r="AG517" s="414" t="s">
        <v>506</v>
      </c>
    </row>
    <row r="518" spans="26:33">
      <c r="Z518" s="414" t="s">
        <v>555</v>
      </c>
      <c r="AA518" s="414" t="s">
        <v>456</v>
      </c>
      <c r="AB518" s="414" t="s">
        <v>456</v>
      </c>
      <c r="AC518" s="414" t="str">
        <f t="shared" si="8"/>
        <v>FinlandTaxi</v>
      </c>
      <c r="AD518" s="414">
        <v>2023</v>
      </c>
      <c r="AE518" s="414">
        <v>0.18558579717095777</v>
      </c>
      <c r="AF518" s="414" t="s">
        <v>619</v>
      </c>
      <c r="AG518" s="414" t="s">
        <v>506</v>
      </c>
    </row>
    <row r="519" spans="26:33">
      <c r="Z519" s="414" t="s">
        <v>560</v>
      </c>
      <c r="AA519" s="414" t="s">
        <v>456</v>
      </c>
      <c r="AB519" s="414" t="s">
        <v>456</v>
      </c>
      <c r="AC519" s="414" t="str">
        <f t="shared" si="8"/>
        <v>FranceTaxi</v>
      </c>
      <c r="AD519" s="414">
        <v>2023</v>
      </c>
      <c r="AE519" s="414">
        <v>0.18558579717095777</v>
      </c>
      <c r="AF519" s="414" t="s">
        <v>619</v>
      </c>
      <c r="AG519" s="414" t="s">
        <v>506</v>
      </c>
    </row>
    <row r="520" spans="26:33">
      <c r="Z520" s="414" t="s">
        <v>565</v>
      </c>
      <c r="AA520" s="414" t="s">
        <v>456</v>
      </c>
      <c r="AB520" s="414" t="s">
        <v>456</v>
      </c>
      <c r="AC520" s="414" t="str">
        <f t="shared" si="8"/>
        <v>GermanyTaxi</v>
      </c>
      <c r="AD520" s="414">
        <v>2023</v>
      </c>
      <c r="AE520" s="414">
        <v>0.18558579717095777</v>
      </c>
      <c r="AF520" s="414" t="s">
        <v>619</v>
      </c>
      <c r="AG520" s="414" t="s">
        <v>506</v>
      </c>
    </row>
    <row r="521" spans="26:33">
      <c r="Z521" s="414" t="s">
        <v>570</v>
      </c>
      <c r="AA521" s="414" t="s">
        <v>456</v>
      </c>
      <c r="AB521" s="414" t="s">
        <v>456</v>
      </c>
      <c r="AC521" s="414" t="str">
        <f t="shared" si="8"/>
        <v>GreeceTaxi</v>
      </c>
      <c r="AD521" s="414">
        <v>2023</v>
      </c>
      <c r="AE521" s="414">
        <v>0.18558579717095777</v>
      </c>
      <c r="AF521" s="414" t="s">
        <v>619</v>
      </c>
      <c r="AG521" s="414" t="s">
        <v>506</v>
      </c>
    </row>
    <row r="522" spans="26:33">
      <c r="Z522" s="414" t="s">
        <v>575</v>
      </c>
      <c r="AA522" s="414" t="s">
        <v>456</v>
      </c>
      <c r="AB522" s="414" t="s">
        <v>456</v>
      </c>
      <c r="AC522" s="414" t="str">
        <f t="shared" si="8"/>
        <v>HungaryTaxi</v>
      </c>
      <c r="AD522" s="414">
        <v>2023</v>
      </c>
      <c r="AE522" s="414">
        <v>0.18558579717095777</v>
      </c>
      <c r="AF522" s="414" t="s">
        <v>619</v>
      </c>
      <c r="AG522" s="414" t="s">
        <v>506</v>
      </c>
    </row>
    <row r="523" spans="26:33">
      <c r="Z523" s="414" t="s">
        <v>579</v>
      </c>
      <c r="AA523" s="414" t="s">
        <v>456</v>
      </c>
      <c r="AB523" s="414" t="s">
        <v>456</v>
      </c>
      <c r="AC523" s="414" t="str">
        <f t="shared" si="8"/>
        <v>IcelandTaxi</v>
      </c>
      <c r="AD523" s="414">
        <v>2023</v>
      </c>
      <c r="AE523" s="414">
        <v>0.18558579717095777</v>
      </c>
      <c r="AF523" s="414" t="s">
        <v>619</v>
      </c>
      <c r="AG523" s="414" t="s">
        <v>506</v>
      </c>
    </row>
    <row r="524" spans="26:33">
      <c r="Z524" s="414" t="s">
        <v>583</v>
      </c>
      <c r="AA524" s="414" t="s">
        <v>456</v>
      </c>
      <c r="AB524" s="414" t="s">
        <v>456</v>
      </c>
      <c r="AC524" s="414" t="str">
        <f t="shared" si="8"/>
        <v>IrelandTaxi</v>
      </c>
      <c r="AD524" s="414">
        <v>2023</v>
      </c>
      <c r="AE524" s="414">
        <v>0.18558579717095777</v>
      </c>
      <c r="AF524" s="414" t="s">
        <v>619</v>
      </c>
      <c r="AG524" s="414" t="s">
        <v>506</v>
      </c>
    </row>
    <row r="525" spans="26:33">
      <c r="Z525" s="414" t="s">
        <v>585</v>
      </c>
      <c r="AA525" s="414" t="s">
        <v>456</v>
      </c>
      <c r="AB525" s="414" t="s">
        <v>456</v>
      </c>
      <c r="AC525" s="414" t="str">
        <f t="shared" si="8"/>
        <v>ItalyTaxi</v>
      </c>
      <c r="AD525" s="414">
        <v>2023</v>
      </c>
      <c r="AE525" s="414">
        <v>0.18558579717095777</v>
      </c>
      <c r="AF525" s="414" t="s">
        <v>619</v>
      </c>
      <c r="AG525" s="414" t="s">
        <v>506</v>
      </c>
    </row>
    <row r="526" spans="26:33">
      <c r="Z526" s="414" t="s">
        <v>587</v>
      </c>
      <c r="AA526" s="414" t="s">
        <v>456</v>
      </c>
      <c r="AB526" s="414" t="s">
        <v>456</v>
      </c>
      <c r="AC526" s="414" t="str">
        <f t="shared" si="8"/>
        <v>LatviaTaxi</v>
      </c>
      <c r="AD526" s="414">
        <v>2023</v>
      </c>
      <c r="AE526" s="414">
        <v>0.18558579717095777</v>
      </c>
      <c r="AF526" s="414" t="s">
        <v>619</v>
      </c>
      <c r="AG526" s="414" t="s">
        <v>506</v>
      </c>
    </row>
    <row r="527" spans="26:33">
      <c r="Z527" s="414" t="s">
        <v>589</v>
      </c>
      <c r="AA527" s="414" t="s">
        <v>456</v>
      </c>
      <c r="AB527" s="414" t="s">
        <v>456</v>
      </c>
      <c r="AC527" s="414" t="str">
        <f t="shared" si="8"/>
        <v>LiechtensteinTaxi</v>
      </c>
      <c r="AD527" s="414">
        <v>2023</v>
      </c>
      <c r="AE527" s="414">
        <v>0.18558579717095777</v>
      </c>
      <c r="AF527" s="414" t="s">
        <v>619</v>
      </c>
      <c r="AG527" s="414" t="s">
        <v>506</v>
      </c>
    </row>
    <row r="528" spans="26:33">
      <c r="Z528" s="414" t="s">
        <v>591</v>
      </c>
      <c r="AA528" s="414" t="s">
        <v>456</v>
      </c>
      <c r="AB528" s="414" t="s">
        <v>456</v>
      </c>
      <c r="AC528" s="414" t="str">
        <f t="shared" si="8"/>
        <v>LithuaniaTaxi</v>
      </c>
      <c r="AD528" s="414">
        <v>2023</v>
      </c>
      <c r="AE528" s="414">
        <v>0.18558579717095777</v>
      </c>
      <c r="AF528" s="414" t="s">
        <v>619</v>
      </c>
      <c r="AG528" s="414" t="s">
        <v>506</v>
      </c>
    </row>
    <row r="529" spans="26:33">
      <c r="Z529" s="414" t="s">
        <v>594</v>
      </c>
      <c r="AA529" s="414" t="s">
        <v>456</v>
      </c>
      <c r="AB529" s="414" t="s">
        <v>456</v>
      </c>
      <c r="AC529" s="414" t="str">
        <f t="shared" si="8"/>
        <v>LuxembourgTaxi</v>
      </c>
      <c r="AD529" s="414">
        <v>2023</v>
      </c>
      <c r="AE529" s="414">
        <v>0.18558579717095777</v>
      </c>
      <c r="AF529" s="414" t="s">
        <v>619</v>
      </c>
      <c r="AG529" s="414" t="s">
        <v>506</v>
      </c>
    </row>
    <row r="530" spans="26:33">
      <c r="Z530" s="414" t="s">
        <v>596</v>
      </c>
      <c r="AA530" s="414" t="s">
        <v>456</v>
      </c>
      <c r="AB530" s="414" t="s">
        <v>456</v>
      </c>
      <c r="AC530" s="414" t="str">
        <f t="shared" si="8"/>
        <v>MaltaTaxi</v>
      </c>
      <c r="AD530" s="414">
        <v>2023</v>
      </c>
      <c r="AE530" s="414">
        <v>0.18558579717095777</v>
      </c>
      <c r="AF530" s="414" t="s">
        <v>619</v>
      </c>
      <c r="AG530" s="414" t="s">
        <v>506</v>
      </c>
    </row>
    <row r="531" spans="26:33">
      <c r="Z531" s="414" t="s">
        <v>598</v>
      </c>
      <c r="AA531" s="414" t="s">
        <v>456</v>
      </c>
      <c r="AB531" s="414" t="s">
        <v>456</v>
      </c>
      <c r="AC531" s="414" t="str">
        <f t="shared" si="8"/>
        <v>MoldovaTaxi</v>
      </c>
      <c r="AD531" s="414">
        <v>2023</v>
      </c>
      <c r="AE531" s="414">
        <v>0.18558579717095777</v>
      </c>
      <c r="AF531" s="414" t="s">
        <v>619</v>
      </c>
      <c r="AG531" s="414" t="s">
        <v>506</v>
      </c>
    </row>
    <row r="532" spans="26:33">
      <c r="Z532" s="414" t="s">
        <v>600</v>
      </c>
      <c r="AA532" s="414" t="s">
        <v>456</v>
      </c>
      <c r="AB532" s="414" t="s">
        <v>456</v>
      </c>
      <c r="AC532" s="414" t="str">
        <f t="shared" si="8"/>
        <v>MonacoTaxi</v>
      </c>
      <c r="AD532" s="414">
        <v>2023</v>
      </c>
      <c r="AE532" s="414">
        <v>0.18558579717095777</v>
      </c>
      <c r="AF532" s="414" t="s">
        <v>619</v>
      </c>
      <c r="AG532" s="414" t="s">
        <v>506</v>
      </c>
    </row>
    <row r="533" spans="26:33">
      <c r="Z533" s="414" t="s">
        <v>602</v>
      </c>
      <c r="AA533" s="414" t="s">
        <v>456</v>
      </c>
      <c r="AB533" s="414" t="s">
        <v>456</v>
      </c>
      <c r="AC533" s="414" t="str">
        <f t="shared" si="8"/>
        <v>MontenegroTaxi</v>
      </c>
      <c r="AD533" s="414">
        <v>2023</v>
      </c>
      <c r="AE533" s="414">
        <v>0.18558579717095777</v>
      </c>
      <c r="AF533" s="414" t="s">
        <v>619</v>
      </c>
      <c r="AG533" s="414" t="s">
        <v>506</v>
      </c>
    </row>
    <row r="534" spans="26:33">
      <c r="Z534" s="414" t="s">
        <v>603</v>
      </c>
      <c r="AA534" s="414" t="s">
        <v>456</v>
      </c>
      <c r="AB534" s="414" t="s">
        <v>456</v>
      </c>
      <c r="AC534" s="414" t="str">
        <f t="shared" si="8"/>
        <v>NetherlandsTaxi</v>
      </c>
      <c r="AD534" s="414">
        <v>2023</v>
      </c>
      <c r="AE534" s="414">
        <v>0.18558579717095777</v>
      </c>
      <c r="AF534" s="414" t="s">
        <v>619</v>
      </c>
      <c r="AG534" s="414" t="s">
        <v>506</v>
      </c>
    </row>
    <row r="535" spans="26:33">
      <c r="Z535" s="414" t="s">
        <v>605</v>
      </c>
      <c r="AA535" s="414" t="s">
        <v>456</v>
      </c>
      <c r="AB535" s="414" t="s">
        <v>456</v>
      </c>
      <c r="AC535" s="414" t="str">
        <f t="shared" si="8"/>
        <v>North MacedoniaTaxi</v>
      </c>
      <c r="AD535" s="414">
        <v>2023</v>
      </c>
      <c r="AE535" s="414">
        <v>0.18558579717095777</v>
      </c>
      <c r="AF535" s="414" t="s">
        <v>619</v>
      </c>
      <c r="AG535" s="414" t="s">
        <v>506</v>
      </c>
    </row>
    <row r="536" spans="26:33">
      <c r="Z536" s="414" t="s">
        <v>606</v>
      </c>
      <c r="AA536" s="414" t="s">
        <v>456</v>
      </c>
      <c r="AB536" s="414" t="s">
        <v>456</v>
      </c>
      <c r="AC536" s="414" t="str">
        <f t="shared" si="8"/>
        <v>NorwayTaxi</v>
      </c>
      <c r="AD536" s="414">
        <v>2023</v>
      </c>
      <c r="AE536" s="414">
        <v>0.18558579717095777</v>
      </c>
      <c r="AF536" s="414" t="s">
        <v>619</v>
      </c>
      <c r="AG536" s="414" t="s">
        <v>506</v>
      </c>
    </row>
    <row r="537" spans="26:33">
      <c r="Z537" s="414" t="s">
        <v>607</v>
      </c>
      <c r="AA537" s="414" t="s">
        <v>456</v>
      </c>
      <c r="AB537" s="414" t="s">
        <v>456</v>
      </c>
      <c r="AC537" s="414" t="str">
        <f t="shared" si="8"/>
        <v>PolandTaxi</v>
      </c>
      <c r="AD537" s="414">
        <v>2023</v>
      </c>
      <c r="AE537" s="414">
        <v>0.18558579717095777</v>
      </c>
      <c r="AF537" s="414" t="s">
        <v>619</v>
      </c>
      <c r="AG537" s="414" t="s">
        <v>506</v>
      </c>
    </row>
    <row r="538" spans="26:33">
      <c r="Z538" s="414" t="s">
        <v>608</v>
      </c>
      <c r="AA538" s="414" t="s">
        <v>456</v>
      </c>
      <c r="AB538" s="414" t="s">
        <v>456</v>
      </c>
      <c r="AC538" s="414" t="str">
        <f t="shared" si="8"/>
        <v>PortugalTaxi</v>
      </c>
      <c r="AD538" s="414">
        <v>2023</v>
      </c>
      <c r="AE538" s="414">
        <v>0.18558579717095777</v>
      </c>
      <c r="AF538" s="414" t="s">
        <v>619</v>
      </c>
      <c r="AG538" s="414" t="s">
        <v>506</v>
      </c>
    </row>
    <row r="539" spans="26:33">
      <c r="Z539" s="414" t="s">
        <v>609</v>
      </c>
      <c r="AA539" s="414" t="s">
        <v>456</v>
      </c>
      <c r="AB539" s="414" t="s">
        <v>456</v>
      </c>
      <c r="AC539" s="414" t="str">
        <f t="shared" si="8"/>
        <v>RomaniaTaxi</v>
      </c>
      <c r="AD539" s="414">
        <v>2023</v>
      </c>
      <c r="AE539" s="414">
        <v>0.18558579717095777</v>
      </c>
      <c r="AF539" s="414" t="s">
        <v>619</v>
      </c>
      <c r="AG539" s="414" t="s">
        <v>506</v>
      </c>
    </row>
    <row r="540" spans="26:33">
      <c r="Z540" s="414" t="s">
        <v>610</v>
      </c>
      <c r="AA540" s="414" t="s">
        <v>456</v>
      </c>
      <c r="AB540" s="414" t="s">
        <v>456</v>
      </c>
      <c r="AC540" s="414" t="str">
        <f t="shared" si="8"/>
        <v>San MarinoTaxi</v>
      </c>
      <c r="AD540" s="414">
        <v>2023</v>
      </c>
      <c r="AE540" s="414">
        <v>0.18558579717095777</v>
      </c>
      <c r="AF540" s="414" t="s">
        <v>619</v>
      </c>
      <c r="AG540" s="414" t="s">
        <v>506</v>
      </c>
    </row>
    <row r="541" spans="26:33">
      <c r="Z541" s="414" t="s">
        <v>611</v>
      </c>
      <c r="AA541" s="414" t="s">
        <v>456</v>
      </c>
      <c r="AB541" s="414" t="s">
        <v>456</v>
      </c>
      <c r="AC541" s="414" t="str">
        <f t="shared" si="8"/>
        <v>SerbiaTaxi</v>
      </c>
      <c r="AD541" s="414">
        <v>2023</v>
      </c>
      <c r="AE541" s="414">
        <v>0.18558579717095777</v>
      </c>
      <c r="AF541" s="414" t="s">
        <v>619</v>
      </c>
      <c r="AG541" s="414" t="s">
        <v>506</v>
      </c>
    </row>
    <row r="542" spans="26:33">
      <c r="Z542" s="414" t="s">
        <v>612</v>
      </c>
      <c r="AA542" s="414" t="s">
        <v>456</v>
      </c>
      <c r="AB542" s="414" t="s">
        <v>456</v>
      </c>
      <c r="AC542" s="414" t="str">
        <f t="shared" si="8"/>
        <v>SlovakiaTaxi</v>
      </c>
      <c r="AD542" s="414">
        <v>2023</v>
      </c>
      <c r="AE542" s="414">
        <v>0.18558579717095777</v>
      </c>
      <c r="AF542" s="414" t="s">
        <v>619</v>
      </c>
      <c r="AG542" s="414" t="s">
        <v>506</v>
      </c>
    </row>
    <row r="543" spans="26:33">
      <c r="Z543" s="414" t="s">
        <v>613</v>
      </c>
      <c r="AA543" s="414" t="s">
        <v>456</v>
      </c>
      <c r="AB543" s="414" t="s">
        <v>456</v>
      </c>
      <c r="AC543" s="414" t="str">
        <f t="shared" si="8"/>
        <v>SloveniaTaxi</v>
      </c>
      <c r="AD543" s="414">
        <v>2023</v>
      </c>
      <c r="AE543" s="414">
        <v>0.18558579717095777</v>
      </c>
      <c r="AF543" s="414" t="s">
        <v>619</v>
      </c>
      <c r="AG543" s="414" t="s">
        <v>506</v>
      </c>
    </row>
    <row r="544" spans="26:33">
      <c r="Z544" s="414" t="s">
        <v>614</v>
      </c>
      <c r="AA544" s="414" t="s">
        <v>456</v>
      </c>
      <c r="AB544" s="414" t="s">
        <v>456</v>
      </c>
      <c r="AC544" s="414" t="str">
        <f t="shared" si="8"/>
        <v>SpainTaxi</v>
      </c>
      <c r="AD544" s="414">
        <v>2023</v>
      </c>
      <c r="AE544" s="414">
        <v>0.18558579717095777</v>
      </c>
      <c r="AF544" s="414" t="s">
        <v>619</v>
      </c>
      <c r="AG544" s="414" t="s">
        <v>506</v>
      </c>
    </row>
    <row r="545" spans="26:33">
      <c r="Z545" s="414" t="s">
        <v>615</v>
      </c>
      <c r="AA545" s="414" t="s">
        <v>456</v>
      </c>
      <c r="AB545" s="414" t="s">
        <v>456</v>
      </c>
      <c r="AC545" s="414" t="str">
        <f t="shared" si="8"/>
        <v>SwedenTaxi</v>
      </c>
      <c r="AD545" s="414">
        <v>2023</v>
      </c>
      <c r="AE545" s="414">
        <v>0.18558579717095777</v>
      </c>
      <c r="AF545" s="414" t="s">
        <v>619</v>
      </c>
      <c r="AG545" s="414" t="s">
        <v>506</v>
      </c>
    </row>
    <row r="546" spans="26:33">
      <c r="Z546" s="414" t="s">
        <v>616</v>
      </c>
      <c r="AA546" s="414" t="s">
        <v>456</v>
      </c>
      <c r="AB546" s="414" t="s">
        <v>456</v>
      </c>
      <c r="AC546" s="414" t="str">
        <f t="shared" si="8"/>
        <v>SwitzerlandTaxi</v>
      </c>
      <c r="AD546" s="414">
        <v>2023</v>
      </c>
      <c r="AE546" s="414">
        <v>0.18558579717095777</v>
      </c>
      <c r="AF546" s="414" t="s">
        <v>619</v>
      </c>
      <c r="AG546" s="414" t="s">
        <v>506</v>
      </c>
    </row>
    <row r="547" spans="26:33">
      <c r="Z547" s="414" t="s">
        <v>617</v>
      </c>
      <c r="AA547" s="414" t="s">
        <v>456</v>
      </c>
      <c r="AB547" s="414" t="s">
        <v>456</v>
      </c>
      <c r="AC547" s="414" t="str">
        <f t="shared" si="8"/>
        <v>UkraineTaxi</v>
      </c>
      <c r="AD547" s="414">
        <v>2023</v>
      </c>
      <c r="AE547" s="414">
        <v>0.18558579717095777</v>
      </c>
      <c r="AF547" s="414" t="s">
        <v>619</v>
      </c>
      <c r="AG547" s="414" t="s">
        <v>506</v>
      </c>
    </row>
    <row r="548" spans="26:33">
      <c r="Z548" s="414" t="s">
        <v>618</v>
      </c>
      <c r="AA548" s="414" t="s">
        <v>456</v>
      </c>
      <c r="AB548" s="414" t="s">
        <v>456</v>
      </c>
      <c r="AC548" s="414" t="str">
        <f t="shared" si="8"/>
        <v>United KingdomTaxi</v>
      </c>
      <c r="AD548" s="414">
        <v>2023</v>
      </c>
      <c r="AE548" s="414">
        <v>0.18558579717095777</v>
      </c>
      <c r="AF548" s="414" t="s">
        <v>619</v>
      </c>
      <c r="AG548" s="414" t="s">
        <v>506</v>
      </c>
    </row>
    <row r="549" spans="26:33">
      <c r="Z549" s="414" t="s">
        <v>492</v>
      </c>
      <c r="AA549" s="414" t="s">
        <v>454</v>
      </c>
      <c r="AB549" s="414" t="s">
        <v>578</v>
      </c>
      <c r="AC549" s="414" t="str">
        <f t="shared" si="8"/>
        <v>AlbaniaFerry - Foot passenger</v>
      </c>
      <c r="AD549" s="414">
        <v>2023</v>
      </c>
      <c r="AE549" s="414">
        <v>2.2953142878090575E-2</v>
      </c>
      <c r="AF549" s="414" t="s">
        <v>619</v>
      </c>
      <c r="AG549" s="414" t="s">
        <v>506</v>
      </c>
    </row>
    <row r="550" spans="26:33">
      <c r="Z550" s="414" t="s">
        <v>504</v>
      </c>
      <c r="AA550" s="414" t="s">
        <v>454</v>
      </c>
      <c r="AB550" s="414" t="s">
        <v>578</v>
      </c>
      <c r="AC550" s="414" t="str">
        <f t="shared" si="8"/>
        <v>AndorraFerry - Foot passenger</v>
      </c>
      <c r="AD550" s="414">
        <v>2023</v>
      </c>
      <c r="AE550" s="414">
        <v>2.2953142878090575E-2</v>
      </c>
      <c r="AF550" s="414" t="s">
        <v>619</v>
      </c>
      <c r="AG550" s="414" t="s">
        <v>506</v>
      </c>
    </row>
    <row r="551" spans="26:33">
      <c r="Z551" s="414" t="s">
        <v>513</v>
      </c>
      <c r="AA551" s="414" t="s">
        <v>454</v>
      </c>
      <c r="AB551" s="414" t="s">
        <v>578</v>
      </c>
      <c r="AC551" s="414" t="str">
        <f t="shared" si="8"/>
        <v>AustriaFerry - Foot passenger</v>
      </c>
      <c r="AD551" s="414">
        <v>2023</v>
      </c>
      <c r="AE551" s="414">
        <v>2.2953142878090575E-2</v>
      </c>
      <c r="AF551" s="414" t="s">
        <v>619</v>
      </c>
      <c r="AG551" s="414" t="s">
        <v>506</v>
      </c>
    </row>
    <row r="552" spans="26:33">
      <c r="Z552" s="414" t="s">
        <v>519</v>
      </c>
      <c r="AA552" s="414" t="s">
        <v>454</v>
      </c>
      <c r="AB552" s="414" t="s">
        <v>578</v>
      </c>
      <c r="AC552" s="414" t="str">
        <f t="shared" si="8"/>
        <v>BelarusFerry - Foot passenger</v>
      </c>
      <c r="AD552" s="414">
        <v>2023</v>
      </c>
      <c r="AE552" s="414">
        <v>2.2953142878090575E-2</v>
      </c>
      <c r="AF552" s="414" t="s">
        <v>619</v>
      </c>
      <c r="AG552" s="414" t="s">
        <v>506</v>
      </c>
    </row>
    <row r="553" spans="26:33">
      <c r="Z553" s="414" t="s">
        <v>525</v>
      </c>
      <c r="AA553" s="414" t="s">
        <v>454</v>
      </c>
      <c r="AB553" s="414" t="s">
        <v>578</v>
      </c>
      <c r="AC553" s="414" t="str">
        <f t="shared" si="8"/>
        <v>BelgiumFerry - Foot passenger</v>
      </c>
      <c r="AD553" s="414">
        <v>2023</v>
      </c>
      <c r="AE553" s="414">
        <v>2.2953142878090575E-2</v>
      </c>
      <c r="AF553" s="414" t="s">
        <v>619</v>
      </c>
      <c r="AG553" s="414" t="s">
        <v>506</v>
      </c>
    </row>
    <row r="554" spans="26:33">
      <c r="Z554" s="414" t="s">
        <v>530</v>
      </c>
      <c r="AA554" s="414" t="s">
        <v>454</v>
      </c>
      <c r="AB554" s="414" t="s">
        <v>578</v>
      </c>
      <c r="AC554" s="414" t="str">
        <f t="shared" si="8"/>
        <v>Bosnia and HerzegovinaFerry - Foot passenger</v>
      </c>
      <c r="AD554" s="414">
        <v>2023</v>
      </c>
      <c r="AE554" s="414">
        <v>2.2953142878090575E-2</v>
      </c>
      <c r="AF554" s="414" t="s">
        <v>619</v>
      </c>
      <c r="AG554" s="414" t="s">
        <v>506</v>
      </c>
    </row>
    <row r="555" spans="26:33">
      <c r="Z555" s="414" t="s">
        <v>534</v>
      </c>
      <c r="AA555" s="414" t="s">
        <v>454</v>
      </c>
      <c r="AB555" s="414" t="s">
        <v>578</v>
      </c>
      <c r="AC555" s="414" t="str">
        <f t="shared" si="8"/>
        <v>BulgariaFerry - Foot passenger</v>
      </c>
      <c r="AD555" s="414">
        <v>2023</v>
      </c>
      <c r="AE555" s="414">
        <v>2.2953142878090575E-2</v>
      </c>
      <c r="AF555" s="414" t="s">
        <v>619</v>
      </c>
      <c r="AG555" s="414" t="s">
        <v>506</v>
      </c>
    </row>
    <row r="556" spans="26:33">
      <c r="Z556" s="414" t="s">
        <v>538</v>
      </c>
      <c r="AA556" s="414" t="s">
        <v>454</v>
      </c>
      <c r="AB556" s="414" t="s">
        <v>578</v>
      </c>
      <c r="AC556" s="414" t="str">
        <f t="shared" si="8"/>
        <v>CroatiaFerry - Foot passenger</v>
      </c>
      <c r="AD556" s="414">
        <v>2023</v>
      </c>
      <c r="AE556" s="414">
        <v>2.2953142878090575E-2</v>
      </c>
      <c r="AF556" s="414" t="s">
        <v>619</v>
      </c>
      <c r="AG556" s="414" t="s">
        <v>506</v>
      </c>
    </row>
    <row r="557" spans="26:33">
      <c r="Z557" s="414" t="s">
        <v>542</v>
      </c>
      <c r="AA557" s="414" t="s">
        <v>454</v>
      </c>
      <c r="AB557" s="414" t="s">
        <v>578</v>
      </c>
      <c r="AC557" s="414" t="str">
        <f t="shared" si="8"/>
        <v>CzechiaFerry - Foot passenger</v>
      </c>
      <c r="AD557" s="414">
        <v>2023</v>
      </c>
      <c r="AE557" s="414">
        <v>2.2953142878090575E-2</v>
      </c>
      <c r="AF557" s="414" t="s">
        <v>619</v>
      </c>
      <c r="AG557" s="414" t="s">
        <v>506</v>
      </c>
    </row>
    <row r="558" spans="26:33">
      <c r="Z558" s="414" t="s">
        <v>545</v>
      </c>
      <c r="AA558" s="414" t="s">
        <v>454</v>
      </c>
      <c r="AB558" s="414" t="s">
        <v>578</v>
      </c>
      <c r="AC558" s="414" t="str">
        <f t="shared" si="8"/>
        <v>DenmarkFerry - Foot passenger</v>
      </c>
      <c r="AD558" s="414">
        <v>2023</v>
      </c>
      <c r="AE558" s="414">
        <v>2.2953142878090575E-2</v>
      </c>
      <c r="AF558" s="414" t="s">
        <v>619</v>
      </c>
      <c r="AG558" s="414" t="s">
        <v>506</v>
      </c>
    </row>
    <row r="559" spans="26:33">
      <c r="Z559" s="414" t="s">
        <v>550</v>
      </c>
      <c r="AA559" s="414" t="s">
        <v>454</v>
      </c>
      <c r="AB559" s="414" t="s">
        <v>578</v>
      </c>
      <c r="AC559" s="414" t="str">
        <f t="shared" si="8"/>
        <v>EstoniaFerry - Foot passenger</v>
      </c>
      <c r="AD559" s="414">
        <v>2023</v>
      </c>
      <c r="AE559" s="414">
        <v>2.2953142878090575E-2</v>
      </c>
      <c r="AF559" s="414" t="s">
        <v>619</v>
      </c>
      <c r="AG559" s="414" t="s">
        <v>506</v>
      </c>
    </row>
    <row r="560" spans="26:33">
      <c r="Z560" s="414" t="s">
        <v>555</v>
      </c>
      <c r="AA560" s="414" t="s">
        <v>454</v>
      </c>
      <c r="AB560" s="414" t="s">
        <v>578</v>
      </c>
      <c r="AC560" s="414" t="str">
        <f t="shared" si="8"/>
        <v>FinlandFerry - Foot passenger</v>
      </c>
      <c r="AD560" s="414">
        <v>2023</v>
      </c>
      <c r="AE560" s="414">
        <v>2.2953142878090575E-2</v>
      </c>
      <c r="AF560" s="414" t="s">
        <v>619</v>
      </c>
      <c r="AG560" s="414" t="s">
        <v>506</v>
      </c>
    </row>
    <row r="561" spans="26:33">
      <c r="Z561" s="414" t="s">
        <v>560</v>
      </c>
      <c r="AA561" s="414" t="s">
        <v>454</v>
      </c>
      <c r="AB561" s="414" t="s">
        <v>578</v>
      </c>
      <c r="AC561" s="414" t="str">
        <f t="shared" si="8"/>
        <v>FranceFerry - Foot passenger</v>
      </c>
      <c r="AD561" s="414">
        <v>2023</v>
      </c>
      <c r="AE561" s="414">
        <v>2.2953142878090575E-2</v>
      </c>
      <c r="AF561" s="414" t="s">
        <v>619</v>
      </c>
      <c r="AG561" s="414" t="s">
        <v>506</v>
      </c>
    </row>
    <row r="562" spans="26:33">
      <c r="Z562" s="414" t="s">
        <v>565</v>
      </c>
      <c r="AA562" s="414" t="s">
        <v>454</v>
      </c>
      <c r="AB562" s="414" t="s">
        <v>578</v>
      </c>
      <c r="AC562" s="414" t="str">
        <f t="shared" si="8"/>
        <v>GermanyFerry - Foot passenger</v>
      </c>
      <c r="AD562" s="414">
        <v>2023</v>
      </c>
      <c r="AE562" s="414">
        <v>2.2953142878090575E-2</v>
      </c>
      <c r="AF562" s="414" t="s">
        <v>619</v>
      </c>
      <c r="AG562" s="414" t="s">
        <v>506</v>
      </c>
    </row>
    <row r="563" spans="26:33">
      <c r="Z563" s="414" t="s">
        <v>570</v>
      </c>
      <c r="AA563" s="414" t="s">
        <v>454</v>
      </c>
      <c r="AB563" s="414" t="s">
        <v>578</v>
      </c>
      <c r="AC563" s="414" t="str">
        <f t="shared" si="8"/>
        <v>GreeceFerry - Foot passenger</v>
      </c>
      <c r="AD563" s="414">
        <v>2023</v>
      </c>
      <c r="AE563" s="414">
        <v>2.2953142878090575E-2</v>
      </c>
      <c r="AF563" s="414" t="s">
        <v>619</v>
      </c>
      <c r="AG563" s="414" t="s">
        <v>506</v>
      </c>
    </row>
    <row r="564" spans="26:33">
      <c r="Z564" s="414" t="s">
        <v>575</v>
      </c>
      <c r="AA564" s="414" t="s">
        <v>454</v>
      </c>
      <c r="AB564" s="414" t="s">
        <v>578</v>
      </c>
      <c r="AC564" s="414" t="str">
        <f t="shared" si="8"/>
        <v>HungaryFerry - Foot passenger</v>
      </c>
      <c r="AD564" s="414">
        <v>2023</v>
      </c>
      <c r="AE564" s="414">
        <v>2.2953142878090575E-2</v>
      </c>
      <c r="AF564" s="414" t="s">
        <v>619</v>
      </c>
      <c r="AG564" s="414" t="s">
        <v>506</v>
      </c>
    </row>
    <row r="565" spans="26:33">
      <c r="Z565" s="414" t="s">
        <v>579</v>
      </c>
      <c r="AA565" s="414" t="s">
        <v>454</v>
      </c>
      <c r="AB565" s="414" t="s">
        <v>578</v>
      </c>
      <c r="AC565" s="414" t="str">
        <f t="shared" si="8"/>
        <v>IcelandFerry - Foot passenger</v>
      </c>
      <c r="AD565" s="414">
        <v>2023</v>
      </c>
      <c r="AE565" s="414">
        <v>2.2953142878090575E-2</v>
      </c>
      <c r="AF565" s="414" t="s">
        <v>619</v>
      </c>
      <c r="AG565" s="414" t="s">
        <v>506</v>
      </c>
    </row>
    <row r="566" spans="26:33">
      <c r="Z566" s="414" t="s">
        <v>583</v>
      </c>
      <c r="AA566" s="414" t="s">
        <v>454</v>
      </c>
      <c r="AB566" s="414" t="s">
        <v>578</v>
      </c>
      <c r="AC566" s="414" t="str">
        <f t="shared" si="8"/>
        <v>IrelandFerry - Foot passenger</v>
      </c>
      <c r="AD566" s="414">
        <v>2023</v>
      </c>
      <c r="AE566" s="414">
        <v>2.2953142878090575E-2</v>
      </c>
      <c r="AF566" s="414" t="s">
        <v>619</v>
      </c>
      <c r="AG566" s="414" t="s">
        <v>506</v>
      </c>
    </row>
    <row r="567" spans="26:33">
      <c r="Z567" s="414" t="s">
        <v>585</v>
      </c>
      <c r="AA567" s="414" t="s">
        <v>454</v>
      </c>
      <c r="AB567" s="414" t="s">
        <v>578</v>
      </c>
      <c r="AC567" s="414" t="str">
        <f t="shared" si="8"/>
        <v>ItalyFerry - Foot passenger</v>
      </c>
      <c r="AD567" s="414">
        <v>2023</v>
      </c>
      <c r="AE567" s="414">
        <v>2.2953142878090575E-2</v>
      </c>
      <c r="AF567" s="414" t="s">
        <v>619</v>
      </c>
      <c r="AG567" s="414" t="s">
        <v>506</v>
      </c>
    </row>
    <row r="568" spans="26:33">
      <c r="Z568" s="414" t="s">
        <v>587</v>
      </c>
      <c r="AA568" s="414" t="s">
        <v>454</v>
      </c>
      <c r="AB568" s="414" t="s">
        <v>578</v>
      </c>
      <c r="AC568" s="414" t="str">
        <f t="shared" si="8"/>
        <v>LatviaFerry - Foot passenger</v>
      </c>
      <c r="AD568" s="414">
        <v>2023</v>
      </c>
      <c r="AE568" s="414">
        <v>2.2953142878090575E-2</v>
      </c>
      <c r="AF568" s="414" t="s">
        <v>619</v>
      </c>
      <c r="AG568" s="414" t="s">
        <v>506</v>
      </c>
    </row>
    <row r="569" spans="26:33">
      <c r="Z569" s="414" t="s">
        <v>589</v>
      </c>
      <c r="AA569" s="414" t="s">
        <v>454</v>
      </c>
      <c r="AB569" s="414" t="s">
        <v>578</v>
      </c>
      <c r="AC569" s="414" t="str">
        <f t="shared" si="8"/>
        <v>LiechtensteinFerry - Foot passenger</v>
      </c>
      <c r="AD569" s="414">
        <v>2023</v>
      </c>
      <c r="AE569" s="414">
        <v>2.2953142878090575E-2</v>
      </c>
      <c r="AF569" s="414" t="s">
        <v>619</v>
      </c>
      <c r="AG569" s="414" t="s">
        <v>506</v>
      </c>
    </row>
    <row r="570" spans="26:33">
      <c r="Z570" s="414" t="s">
        <v>591</v>
      </c>
      <c r="AA570" s="414" t="s">
        <v>454</v>
      </c>
      <c r="AB570" s="414" t="s">
        <v>578</v>
      </c>
      <c r="AC570" s="414" t="str">
        <f t="shared" si="8"/>
        <v>LithuaniaFerry - Foot passenger</v>
      </c>
      <c r="AD570" s="414">
        <v>2023</v>
      </c>
      <c r="AE570" s="414">
        <v>2.2953142878090575E-2</v>
      </c>
      <c r="AF570" s="414" t="s">
        <v>619</v>
      </c>
      <c r="AG570" s="414" t="s">
        <v>506</v>
      </c>
    </row>
    <row r="571" spans="26:33">
      <c r="Z571" s="414" t="s">
        <v>594</v>
      </c>
      <c r="AA571" s="414" t="s">
        <v>454</v>
      </c>
      <c r="AB571" s="414" t="s">
        <v>578</v>
      </c>
      <c r="AC571" s="414" t="str">
        <f t="shared" si="8"/>
        <v>LuxembourgFerry - Foot passenger</v>
      </c>
      <c r="AD571" s="414">
        <v>2023</v>
      </c>
      <c r="AE571" s="414">
        <v>2.2953142878090575E-2</v>
      </c>
      <c r="AF571" s="414" t="s">
        <v>619</v>
      </c>
      <c r="AG571" s="414" t="s">
        <v>506</v>
      </c>
    </row>
    <row r="572" spans="26:33">
      <c r="Z572" s="414" t="s">
        <v>596</v>
      </c>
      <c r="AA572" s="414" t="s">
        <v>454</v>
      </c>
      <c r="AB572" s="414" t="s">
        <v>578</v>
      </c>
      <c r="AC572" s="414" t="str">
        <f t="shared" si="8"/>
        <v>MaltaFerry - Foot passenger</v>
      </c>
      <c r="AD572" s="414">
        <v>2023</v>
      </c>
      <c r="AE572" s="414">
        <v>2.2953142878090575E-2</v>
      </c>
      <c r="AF572" s="414" t="s">
        <v>619</v>
      </c>
      <c r="AG572" s="414" t="s">
        <v>506</v>
      </c>
    </row>
    <row r="573" spans="26:33">
      <c r="Z573" s="414" t="s">
        <v>598</v>
      </c>
      <c r="AA573" s="414" t="s">
        <v>454</v>
      </c>
      <c r="AB573" s="414" t="s">
        <v>578</v>
      </c>
      <c r="AC573" s="414" t="str">
        <f t="shared" si="8"/>
        <v>MoldovaFerry - Foot passenger</v>
      </c>
      <c r="AD573" s="414">
        <v>2023</v>
      </c>
      <c r="AE573" s="414">
        <v>2.2953142878090575E-2</v>
      </c>
      <c r="AF573" s="414" t="s">
        <v>619</v>
      </c>
      <c r="AG573" s="414" t="s">
        <v>506</v>
      </c>
    </row>
    <row r="574" spans="26:33">
      <c r="Z574" s="414" t="s">
        <v>600</v>
      </c>
      <c r="AA574" s="414" t="s">
        <v>454</v>
      </c>
      <c r="AB574" s="414" t="s">
        <v>578</v>
      </c>
      <c r="AC574" s="414" t="str">
        <f t="shared" si="8"/>
        <v>MonacoFerry - Foot passenger</v>
      </c>
      <c r="AD574" s="414">
        <v>2023</v>
      </c>
      <c r="AE574" s="414">
        <v>2.2953142878090575E-2</v>
      </c>
      <c r="AF574" s="414" t="s">
        <v>619</v>
      </c>
      <c r="AG574" s="414" t="s">
        <v>506</v>
      </c>
    </row>
    <row r="575" spans="26:33">
      <c r="Z575" s="414" t="s">
        <v>602</v>
      </c>
      <c r="AA575" s="414" t="s">
        <v>454</v>
      </c>
      <c r="AB575" s="414" t="s">
        <v>578</v>
      </c>
      <c r="AC575" s="414" t="str">
        <f t="shared" si="8"/>
        <v>MontenegroFerry - Foot passenger</v>
      </c>
      <c r="AD575" s="414">
        <v>2023</v>
      </c>
      <c r="AE575" s="414">
        <v>2.2953142878090575E-2</v>
      </c>
      <c r="AF575" s="414" t="s">
        <v>619</v>
      </c>
      <c r="AG575" s="414" t="s">
        <v>506</v>
      </c>
    </row>
    <row r="576" spans="26:33">
      <c r="Z576" s="414" t="s">
        <v>603</v>
      </c>
      <c r="AA576" s="414" t="s">
        <v>454</v>
      </c>
      <c r="AB576" s="414" t="s">
        <v>578</v>
      </c>
      <c r="AC576" s="414" t="str">
        <f t="shared" si="8"/>
        <v>NetherlandsFerry - Foot passenger</v>
      </c>
      <c r="AD576" s="414">
        <v>2023</v>
      </c>
      <c r="AE576" s="414">
        <v>2.2953142878090575E-2</v>
      </c>
      <c r="AF576" s="414" t="s">
        <v>619</v>
      </c>
      <c r="AG576" s="414" t="s">
        <v>506</v>
      </c>
    </row>
    <row r="577" spans="26:33">
      <c r="Z577" s="414" t="s">
        <v>605</v>
      </c>
      <c r="AA577" s="414" t="s">
        <v>454</v>
      </c>
      <c r="AB577" s="414" t="s">
        <v>578</v>
      </c>
      <c r="AC577" s="414" t="str">
        <f t="shared" si="8"/>
        <v>North MacedoniaFerry - Foot passenger</v>
      </c>
      <c r="AD577" s="414">
        <v>2023</v>
      </c>
      <c r="AE577" s="414">
        <v>2.2953142878090575E-2</v>
      </c>
      <c r="AF577" s="414" t="s">
        <v>619</v>
      </c>
      <c r="AG577" s="414" t="s">
        <v>506</v>
      </c>
    </row>
    <row r="578" spans="26:33">
      <c r="Z578" s="414" t="s">
        <v>606</v>
      </c>
      <c r="AA578" s="414" t="s">
        <v>454</v>
      </c>
      <c r="AB578" s="414" t="s">
        <v>578</v>
      </c>
      <c r="AC578" s="414" t="str">
        <f t="shared" si="8"/>
        <v>NorwayFerry - Foot passenger</v>
      </c>
      <c r="AD578" s="414">
        <v>2023</v>
      </c>
      <c r="AE578" s="414">
        <v>2.2953142878090575E-2</v>
      </c>
      <c r="AF578" s="414" t="s">
        <v>619</v>
      </c>
      <c r="AG578" s="414" t="s">
        <v>506</v>
      </c>
    </row>
    <row r="579" spans="26:33">
      <c r="Z579" s="414" t="s">
        <v>607</v>
      </c>
      <c r="AA579" s="414" t="s">
        <v>454</v>
      </c>
      <c r="AB579" s="414" t="s">
        <v>578</v>
      </c>
      <c r="AC579" s="414" t="str">
        <f t="shared" ref="AC579:AC642" si="9">Z579&amp;AB579</f>
        <v>PolandFerry - Foot passenger</v>
      </c>
      <c r="AD579" s="414">
        <v>2023</v>
      </c>
      <c r="AE579" s="414">
        <v>2.2953142878090575E-2</v>
      </c>
      <c r="AF579" s="414" t="s">
        <v>619</v>
      </c>
      <c r="AG579" s="414" t="s">
        <v>506</v>
      </c>
    </row>
    <row r="580" spans="26:33">
      <c r="Z580" s="414" t="s">
        <v>608</v>
      </c>
      <c r="AA580" s="414" t="s">
        <v>454</v>
      </c>
      <c r="AB580" s="414" t="s">
        <v>578</v>
      </c>
      <c r="AC580" s="414" t="str">
        <f t="shared" si="9"/>
        <v>PortugalFerry - Foot passenger</v>
      </c>
      <c r="AD580" s="414">
        <v>2023</v>
      </c>
      <c r="AE580" s="414">
        <v>2.2953142878090575E-2</v>
      </c>
      <c r="AF580" s="414" t="s">
        <v>619</v>
      </c>
      <c r="AG580" s="414" t="s">
        <v>506</v>
      </c>
    </row>
    <row r="581" spans="26:33">
      <c r="Z581" s="414" t="s">
        <v>609</v>
      </c>
      <c r="AA581" s="414" t="s">
        <v>454</v>
      </c>
      <c r="AB581" s="414" t="s">
        <v>578</v>
      </c>
      <c r="AC581" s="414" t="str">
        <f t="shared" si="9"/>
        <v>RomaniaFerry - Foot passenger</v>
      </c>
      <c r="AD581" s="414">
        <v>2023</v>
      </c>
      <c r="AE581" s="414">
        <v>2.2953142878090575E-2</v>
      </c>
      <c r="AF581" s="414" t="s">
        <v>619</v>
      </c>
      <c r="AG581" s="414" t="s">
        <v>506</v>
      </c>
    </row>
    <row r="582" spans="26:33">
      <c r="Z582" s="414" t="s">
        <v>610</v>
      </c>
      <c r="AA582" s="414" t="s">
        <v>454</v>
      </c>
      <c r="AB582" s="414" t="s">
        <v>578</v>
      </c>
      <c r="AC582" s="414" t="str">
        <f t="shared" si="9"/>
        <v>San MarinoFerry - Foot passenger</v>
      </c>
      <c r="AD582" s="414">
        <v>2023</v>
      </c>
      <c r="AE582" s="414">
        <v>2.2953142878090575E-2</v>
      </c>
      <c r="AF582" s="414" t="s">
        <v>619</v>
      </c>
      <c r="AG582" s="414" t="s">
        <v>506</v>
      </c>
    </row>
    <row r="583" spans="26:33">
      <c r="Z583" s="414" t="s">
        <v>611</v>
      </c>
      <c r="AA583" s="414" t="s">
        <v>454</v>
      </c>
      <c r="AB583" s="414" t="s">
        <v>578</v>
      </c>
      <c r="AC583" s="414" t="str">
        <f t="shared" si="9"/>
        <v>SerbiaFerry - Foot passenger</v>
      </c>
      <c r="AD583" s="414">
        <v>2023</v>
      </c>
      <c r="AE583" s="414">
        <v>2.2953142878090575E-2</v>
      </c>
      <c r="AF583" s="414" t="s">
        <v>619</v>
      </c>
      <c r="AG583" s="414" t="s">
        <v>506</v>
      </c>
    </row>
    <row r="584" spans="26:33">
      <c r="Z584" s="414" t="s">
        <v>612</v>
      </c>
      <c r="AA584" s="414" t="s">
        <v>454</v>
      </c>
      <c r="AB584" s="414" t="s">
        <v>578</v>
      </c>
      <c r="AC584" s="414" t="str">
        <f t="shared" si="9"/>
        <v>SlovakiaFerry - Foot passenger</v>
      </c>
      <c r="AD584" s="414">
        <v>2023</v>
      </c>
      <c r="AE584" s="414">
        <v>2.2953142878090575E-2</v>
      </c>
      <c r="AF584" s="414" t="s">
        <v>619</v>
      </c>
      <c r="AG584" s="414" t="s">
        <v>506</v>
      </c>
    </row>
    <row r="585" spans="26:33">
      <c r="Z585" s="414" t="s">
        <v>613</v>
      </c>
      <c r="AA585" s="414" t="s">
        <v>454</v>
      </c>
      <c r="AB585" s="414" t="s">
        <v>578</v>
      </c>
      <c r="AC585" s="414" t="str">
        <f t="shared" si="9"/>
        <v>SloveniaFerry - Foot passenger</v>
      </c>
      <c r="AD585" s="414">
        <v>2023</v>
      </c>
      <c r="AE585" s="414">
        <v>2.2953142878090575E-2</v>
      </c>
      <c r="AF585" s="414" t="s">
        <v>619</v>
      </c>
      <c r="AG585" s="414" t="s">
        <v>506</v>
      </c>
    </row>
    <row r="586" spans="26:33">
      <c r="Z586" s="414" t="s">
        <v>614</v>
      </c>
      <c r="AA586" s="414" t="s">
        <v>454</v>
      </c>
      <c r="AB586" s="414" t="s">
        <v>578</v>
      </c>
      <c r="AC586" s="414" t="str">
        <f t="shared" si="9"/>
        <v>SpainFerry - Foot passenger</v>
      </c>
      <c r="AD586" s="414">
        <v>2023</v>
      </c>
      <c r="AE586" s="414">
        <v>2.2953142878090575E-2</v>
      </c>
      <c r="AF586" s="414" t="s">
        <v>619</v>
      </c>
      <c r="AG586" s="414" t="s">
        <v>506</v>
      </c>
    </row>
    <row r="587" spans="26:33">
      <c r="Z587" s="414" t="s">
        <v>615</v>
      </c>
      <c r="AA587" s="414" t="s">
        <v>454</v>
      </c>
      <c r="AB587" s="414" t="s">
        <v>578</v>
      </c>
      <c r="AC587" s="414" t="str">
        <f t="shared" si="9"/>
        <v>SwedenFerry - Foot passenger</v>
      </c>
      <c r="AD587" s="414">
        <v>2023</v>
      </c>
      <c r="AE587" s="414">
        <v>2.2953142878090575E-2</v>
      </c>
      <c r="AF587" s="414" t="s">
        <v>619</v>
      </c>
      <c r="AG587" s="414" t="s">
        <v>506</v>
      </c>
    </row>
    <row r="588" spans="26:33">
      <c r="Z588" s="414" t="s">
        <v>616</v>
      </c>
      <c r="AA588" s="414" t="s">
        <v>454</v>
      </c>
      <c r="AB588" s="414" t="s">
        <v>578</v>
      </c>
      <c r="AC588" s="414" t="str">
        <f t="shared" si="9"/>
        <v>SwitzerlandFerry - Foot passenger</v>
      </c>
      <c r="AD588" s="414">
        <v>2023</v>
      </c>
      <c r="AE588" s="414">
        <v>2.2953142878090575E-2</v>
      </c>
      <c r="AF588" s="414" t="s">
        <v>619</v>
      </c>
      <c r="AG588" s="414" t="s">
        <v>506</v>
      </c>
    </row>
    <row r="589" spans="26:33">
      <c r="Z589" s="414" t="s">
        <v>617</v>
      </c>
      <c r="AA589" s="414" t="s">
        <v>454</v>
      </c>
      <c r="AB589" s="414" t="s">
        <v>578</v>
      </c>
      <c r="AC589" s="414" t="str">
        <f t="shared" si="9"/>
        <v>UkraineFerry - Foot passenger</v>
      </c>
      <c r="AD589" s="414">
        <v>2023</v>
      </c>
      <c r="AE589" s="414">
        <v>2.2953142878090575E-2</v>
      </c>
      <c r="AF589" s="414" t="s">
        <v>619</v>
      </c>
      <c r="AG589" s="414" t="s">
        <v>506</v>
      </c>
    </row>
    <row r="590" spans="26:33">
      <c r="Z590" s="414" t="s">
        <v>618</v>
      </c>
      <c r="AA590" s="414" t="s">
        <v>454</v>
      </c>
      <c r="AB590" s="414" t="s">
        <v>578</v>
      </c>
      <c r="AC590" s="414" t="str">
        <f t="shared" si="9"/>
        <v>United KingdomFerry - Foot passenger</v>
      </c>
      <c r="AD590" s="414">
        <v>2023</v>
      </c>
      <c r="AE590" s="414">
        <v>2.2953142878090575E-2</v>
      </c>
      <c r="AF590" s="414" t="s">
        <v>619</v>
      </c>
      <c r="AG590" s="414" t="s">
        <v>506</v>
      </c>
    </row>
    <row r="591" spans="26:33">
      <c r="Z591" s="414" t="s">
        <v>492</v>
      </c>
      <c r="AA591" s="414" t="s">
        <v>454</v>
      </c>
      <c r="AB591" s="414" t="s">
        <v>582</v>
      </c>
      <c r="AC591" s="414" t="str">
        <f t="shared" si="9"/>
        <v>AlbaniaFerry - Car passenger</v>
      </c>
      <c r="AD591" s="414">
        <v>2023</v>
      </c>
      <c r="AE591" s="414">
        <v>0.15865316755798808</v>
      </c>
      <c r="AF591" s="414" t="s">
        <v>619</v>
      </c>
      <c r="AG591" s="414" t="s">
        <v>506</v>
      </c>
    </row>
    <row r="592" spans="26:33">
      <c r="Z592" s="414" t="s">
        <v>504</v>
      </c>
      <c r="AA592" s="414" t="s">
        <v>454</v>
      </c>
      <c r="AB592" s="414" t="s">
        <v>582</v>
      </c>
      <c r="AC592" s="414" t="str">
        <f t="shared" si="9"/>
        <v>AndorraFerry - Car passenger</v>
      </c>
      <c r="AD592" s="414">
        <v>2023</v>
      </c>
      <c r="AE592" s="414">
        <v>0.15865316755798808</v>
      </c>
      <c r="AF592" s="414" t="s">
        <v>619</v>
      </c>
      <c r="AG592" s="414" t="s">
        <v>506</v>
      </c>
    </row>
    <row r="593" spans="26:33">
      <c r="Z593" s="414" t="s">
        <v>513</v>
      </c>
      <c r="AA593" s="414" t="s">
        <v>454</v>
      </c>
      <c r="AB593" s="414" t="s">
        <v>582</v>
      </c>
      <c r="AC593" s="414" t="str">
        <f t="shared" si="9"/>
        <v>AustriaFerry - Car passenger</v>
      </c>
      <c r="AD593" s="414">
        <v>2023</v>
      </c>
      <c r="AE593" s="414">
        <v>0.15865316755798808</v>
      </c>
      <c r="AF593" s="414" t="s">
        <v>619</v>
      </c>
      <c r="AG593" s="414" t="s">
        <v>506</v>
      </c>
    </row>
    <row r="594" spans="26:33">
      <c r="Z594" s="414" t="s">
        <v>519</v>
      </c>
      <c r="AA594" s="414" t="s">
        <v>454</v>
      </c>
      <c r="AB594" s="414" t="s">
        <v>582</v>
      </c>
      <c r="AC594" s="414" t="str">
        <f t="shared" si="9"/>
        <v>BelarusFerry - Car passenger</v>
      </c>
      <c r="AD594" s="414">
        <v>2023</v>
      </c>
      <c r="AE594" s="414">
        <v>0.15865316755798808</v>
      </c>
      <c r="AF594" s="414" t="s">
        <v>619</v>
      </c>
      <c r="AG594" s="414" t="s">
        <v>506</v>
      </c>
    </row>
    <row r="595" spans="26:33">
      <c r="Z595" s="414" t="s">
        <v>525</v>
      </c>
      <c r="AA595" s="414" t="s">
        <v>454</v>
      </c>
      <c r="AB595" s="414" t="s">
        <v>582</v>
      </c>
      <c r="AC595" s="414" t="str">
        <f t="shared" si="9"/>
        <v>BelgiumFerry - Car passenger</v>
      </c>
      <c r="AD595" s="414">
        <v>2023</v>
      </c>
      <c r="AE595" s="414">
        <v>0.15865316755798808</v>
      </c>
      <c r="AF595" s="414" t="s">
        <v>619</v>
      </c>
      <c r="AG595" s="414" t="s">
        <v>506</v>
      </c>
    </row>
    <row r="596" spans="26:33">
      <c r="Z596" s="414" t="s">
        <v>530</v>
      </c>
      <c r="AA596" s="414" t="s">
        <v>454</v>
      </c>
      <c r="AB596" s="414" t="s">
        <v>582</v>
      </c>
      <c r="AC596" s="414" t="str">
        <f t="shared" si="9"/>
        <v>Bosnia and HerzegovinaFerry - Car passenger</v>
      </c>
      <c r="AD596" s="414">
        <v>2023</v>
      </c>
      <c r="AE596" s="414">
        <v>0.15865316755798808</v>
      </c>
      <c r="AF596" s="414" t="s">
        <v>619</v>
      </c>
      <c r="AG596" s="414" t="s">
        <v>506</v>
      </c>
    </row>
    <row r="597" spans="26:33">
      <c r="Z597" s="414" t="s">
        <v>534</v>
      </c>
      <c r="AA597" s="414" t="s">
        <v>454</v>
      </c>
      <c r="AB597" s="414" t="s">
        <v>582</v>
      </c>
      <c r="AC597" s="414" t="str">
        <f t="shared" si="9"/>
        <v>BulgariaFerry - Car passenger</v>
      </c>
      <c r="AD597" s="414">
        <v>2023</v>
      </c>
      <c r="AE597" s="414">
        <v>0.15865316755798808</v>
      </c>
      <c r="AF597" s="414" t="s">
        <v>619</v>
      </c>
      <c r="AG597" s="414" t="s">
        <v>506</v>
      </c>
    </row>
    <row r="598" spans="26:33">
      <c r="Z598" s="414" t="s">
        <v>538</v>
      </c>
      <c r="AA598" s="414" t="s">
        <v>454</v>
      </c>
      <c r="AB598" s="414" t="s">
        <v>582</v>
      </c>
      <c r="AC598" s="414" t="str">
        <f t="shared" si="9"/>
        <v>CroatiaFerry - Car passenger</v>
      </c>
      <c r="AD598" s="414">
        <v>2023</v>
      </c>
      <c r="AE598" s="414">
        <v>0.15865316755798808</v>
      </c>
      <c r="AF598" s="414" t="s">
        <v>619</v>
      </c>
      <c r="AG598" s="414" t="s">
        <v>506</v>
      </c>
    </row>
    <row r="599" spans="26:33">
      <c r="Z599" s="414" t="s">
        <v>542</v>
      </c>
      <c r="AA599" s="414" t="s">
        <v>454</v>
      </c>
      <c r="AB599" s="414" t="s">
        <v>582</v>
      </c>
      <c r="AC599" s="414" t="str">
        <f t="shared" si="9"/>
        <v>CzechiaFerry - Car passenger</v>
      </c>
      <c r="AD599" s="414">
        <v>2023</v>
      </c>
      <c r="AE599" s="414">
        <v>0.15865316755798808</v>
      </c>
      <c r="AF599" s="414" t="s">
        <v>619</v>
      </c>
      <c r="AG599" s="414" t="s">
        <v>506</v>
      </c>
    </row>
    <row r="600" spans="26:33">
      <c r="Z600" s="414" t="s">
        <v>545</v>
      </c>
      <c r="AA600" s="414" t="s">
        <v>454</v>
      </c>
      <c r="AB600" s="414" t="s">
        <v>582</v>
      </c>
      <c r="AC600" s="414" t="str">
        <f t="shared" si="9"/>
        <v>DenmarkFerry - Car passenger</v>
      </c>
      <c r="AD600" s="414">
        <v>2023</v>
      </c>
      <c r="AE600" s="414">
        <v>0.15865316755798808</v>
      </c>
      <c r="AF600" s="414" t="s">
        <v>619</v>
      </c>
      <c r="AG600" s="414" t="s">
        <v>506</v>
      </c>
    </row>
    <row r="601" spans="26:33">
      <c r="Z601" s="414" t="s">
        <v>550</v>
      </c>
      <c r="AA601" s="414" t="s">
        <v>454</v>
      </c>
      <c r="AB601" s="414" t="s">
        <v>582</v>
      </c>
      <c r="AC601" s="414" t="str">
        <f t="shared" si="9"/>
        <v>EstoniaFerry - Car passenger</v>
      </c>
      <c r="AD601" s="414">
        <v>2023</v>
      </c>
      <c r="AE601" s="414">
        <v>0.15865316755798808</v>
      </c>
      <c r="AF601" s="414" t="s">
        <v>619</v>
      </c>
      <c r="AG601" s="414" t="s">
        <v>506</v>
      </c>
    </row>
    <row r="602" spans="26:33">
      <c r="Z602" s="414" t="s">
        <v>555</v>
      </c>
      <c r="AA602" s="414" t="s">
        <v>454</v>
      </c>
      <c r="AB602" s="414" t="s">
        <v>582</v>
      </c>
      <c r="AC602" s="414" t="str">
        <f t="shared" si="9"/>
        <v>FinlandFerry - Car passenger</v>
      </c>
      <c r="AD602" s="414">
        <v>2023</v>
      </c>
      <c r="AE602" s="414">
        <v>0.15865316755798808</v>
      </c>
      <c r="AF602" s="414" t="s">
        <v>619</v>
      </c>
      <c r="AG602" s="414" t="s">
        <v>506</v>
      </c>
    </row>
    <row r="603" spans="26:33">
      <c r="Z603" s="414" t="s">
        <v>560</v>
      </c>
      <c r="AA603" s="414" t="s">
        <v>454</v>
      </c>
      <c r="AB603" s="414" t="s">
        <v>582</v>
      </c>
      <c r="AC603" s="414" t="str">
        <f t="shared" si="9"/>
        <v>FranceFerry - Car passenger</v>
      </c>
      <c r="AD603" s="414">
        <v>2023</v>
      </c>
      <c r="AE603" s="414">
        <v>0.15865316755798808</v>
      </c>
      <c r="AF603" s="414" t="s">
        <v>619</v>
      </c>
      <c r="AG603" s="414" t="s">
        <v>506</v>
      </c>
    </row>
    <row r="604" spans="26:33">
      <c r="Z604" s="414" t="s">
        <v>565</v>
      </c>
      <c r="AA604" s="414" t="s">
        <v>454</v>
      </c>
      <c r="AB604" s="414" t="s">
        <v>582</v>
      </c>
      <c r="AC604" s="414" t="str">
        <f t="shared" si="9"/>
        <v>GermanyFerry - Car passenger</v>
      </c>
      <c r="AD604" s="414">
        <v>2023</v>
      </c>
      <c r="AE604" s="414">
        <v>0.15865316755798808</v>
      </c>
      <c r="AF604" s="414" t="s">
        <v>619</v>
      </c>
      <c r="AG604" s="414" t="s">
        <v>506</v>
      </c>
    </row>
    <row r="605" spans="26:33">
      <c r="Z605" s="414" t="s">
        <v>570</v>
      </c>
      <c r="AA605" s="414" t="s">
        <v>454</v>
      </c>
      <c r="AB605" s="414" t="s">
        <v>582</v>
      </c>
      <c r="AC605" s="414" t="str">
        <f t="shared" si="9"/>
        <v>GreeceFerry - Car passenger</v>
      </c>
      <c r="AD605" s="414">
        <v>2023</v>
      </c>
      <c r="AE605" s="414">
        <v>0.15865316755798808</v>
      </c>
      <c r="AF605" s="414" t="s">
        <v>619</v>
      </c>
      <c r="AG605" s="414" t="s">
        <v>506</v>
      </c>
    </row>
    <row r="606" spans="26:33">
      <c r="Z606" s="414" t="s">
        <v>575</v>
      </c>
      <c r="AA606" s="414" t="s">
        <v>454</v>
      </c>
      <c r="AB606" s="414" t="s">
        <v>582</v>
      </c>
      <c r="AC606" s="414" t="str">
        <f t="shared" si="9"/>
        <v>HungaryFerry - Car passenger</v>
      </c>
      <c r="AD606" s="414">
        <v>2023</v>
      </c>
      <c r="AE606" s="414">
        <v>0.15865316755798808</v>
      </c>
      <c r="AF606" s="414" t="s">
        <v>619</v>
      </c>
      <c r="AG606" s="414" t="s">
        <v>506</v>
      </c>
    </row>
    <row r="607" spans="26:33">
      <c r="Z607" s="414" t="s">
        <v>579</v>
      </c>
      <c r="AA607" s="414" t="s">
        <v>454</v>
      </c>
      <c r="AB607" s="414" t="s">
        <v>582</v>
      </c>
      <c r="AC607" s="414" t="str">
        <f t="shared" si="9"/>
        <v>IcelandFerry - Car passenger</v>
      </c>
      <c r="AD607" s="414">
        <v>2023</v>
      </c>
      <c r="AE607" s="414">
        <v>0.15865316755798808</v>
      </c>
      <c r="AF607" s="414" t="s">
        <v>619</v>
      </c>
      <c r="AG607" s="414" t="s">
        <v>506</v>
      </c>
    </row>
    <row r="608" spans="26:33">
      <c r="Z608" s="414" t="s">
        <v>583</v>
      </c>
      <c r="AA608" s="414" t="s">
        <v>454</v>
      </c>
      <c r="AB608" s="414" t="s">
        <v>582</v>
      </c>
      <c r="AC608" s="414" t="str">
        <f t="shared" si="9"/>
        <v>IrelandFerry - Car passenger</v>
      </c>
      <c r="AD608" s="414">
        <v>2023</v>
      </c>
      <c r="AE608" s="414">
        <v>0.15865316755798808</v>
      </c>
      <c r="AF608" s="414" t="s">
        <v>619</v>
      </c>
      <c r="AG608" s="414" t="s">
        <v>506</v>
      </c>
    </row>
    <row r="609" spans="26:33">
      <c r="Z609" s="414" t="s">
        <v>585</v>
      </c>
      <c r="AA609" s="414" t="s">
        <v>454</v>
      </c>
      <c r="AB609" s="414" t="s">
        <v>582</v>
      </c>
      <c r="AC609" s="414" t="str">
        <f t="shared" si="9"/>
        <v>ItalyFerry - Car passenger</v>
      </c>
      <c r="AD609" s="414">
        <v>2023</v>
      </c>
      <c r="AE609" s="414">
        <v>0.15865316755798808</v>
      </c>
      <c r="AF609" s="414" t="s">
        <v>619</v>
      </c>
      <c r="AG609" s="414" t="s">
        <v>506</v>
      </c>
    </row>
    <row r="610" spans="26:33">
      <c r="Z610" s="414" t="s">
        <v>587</v>
      </c>
      <c r="AA610" s="414" t="s">
        <v>454</v>
      </c>
      <c r="AB610" s="414" t="s">
        <v>582</v>
      </c>
      <c r="AC610" s="414" t="str">
        <f t="shared" si="9"/>
        <v>LatviaFerry - Car passenger</v>
      </c>
      <c r="AD610" s="414">
        <v>2023</v>
      </c>
      <c r="AE610" s="414">
        <v>0.15865316755798808</v>
      </c>
      <c r="AF610" s="414" t="s">
        <v>619</v>
      </c>
      <c r="AG610" s="414" t="s">
        <v>506</v>
      </c>
    </row>
    <row r="611" spans="26:33">
      <c r="Z611" s="414" t="s">
        <v>589</v>
      </c>
      <c r="AA611" s="414" t="s">
        <v>454</v>
      </c>
      <c r="AB611" s="414" t="s">
        <v>582</v>
      </c>
      <c r="AC611" s="414" t="str">
        <f t="shared" si="9"/>
        <v>LiechtensteinFerry - Car passenger</v>
      </c>
      <c r="AD611" s="414">
        <v>2023</v>
      </c>
      <c r="AE611" s="414">
        <v>0.15865316755798808</v>
      </c>
      <c r="AF611" s="414" t="s">
        <v>619</v>
      </c>
      <c r="AG611" s="414" t="s">
        <v>506</v>
      </c>
    </row>
    <row r="612" spans="26:33">
      <c r="Z612" s="414" t="s">
        <v>591</v>
      </c>
      <c r="AA612" s="414" t="s">
        <v>454</v>
      </c>
      <c r="AB612" s="414" t="s">
        <v>582</v>
      </c>
      <c r="AC612" s="414" t="str">
        <f t="shared" si="9"/>
        <v>LithuaniaFerry - Car passenger</v>
      </c>
      <c r="AD612" s="414">
        <v>2023</v>
      </c>
      <c r="AE612" s="414">
        <v>0.15865316755798808</v>
      </c>
      <c r="AF612" s="414" t="s">
        <v>619</v>
      </c>
      <c r="AG612" s="414" t="s">
        <v>506</v>
      </c>
    </row>
    <row r="613" spans="26:33">
      <c r="Z613" s="414" t="s">
        <v>594</v>
      </c>
      <c r="AA613" s="414" t="s">
        <v>454</v>
      </c>
      <c r="AB613" s="414" t="s">
        <v>582</v>
      </c>
      <c r="AC613" s="414" t="str">
        <f t="shared" si="9"/>
        <v>LuxembourgFerry - Car passenger</v>
      </c>
      <c r="AD613" s="414">
        <v>2023</v>
      </c>
      <c r="AE613" s="414">
        <v>0.15865316755798808</v>
      </c>
      <c r="AF613" s="414" t="s">
        <v>619</v>
      </c>
      <c r="AG613" s="414" t="s">
        <v>506</v>
      </c>
    </row>
    <row r="614" spans="26:33">
      <c r="Z614" s="414" t="s">
        <v>596</v>
      </c>
      <c r="AA614" s="414" t="s">
        <v>454</v>
      </c>
      <c r="AB614" s="414" t="s">
        <v>582</v>
      </c>
      <c r="AC614" s="414" t="str">
        <f t="shared" si="9"/>
        <v>MaltaFerry - Car passenger</v>
      </c>
      <c r="AD614" s="414">
        <v>2023</v>
      </c>
      <c r="AE614" s="414">
        <v>0.15865316755798808</v>
      </c>
      <c r="AF614" s="414" t="s">
        <v>619</v>
      </c>
      <c r="AG614" s="414" t="s">
        <v>506</v>
      </c>
    </row>
    <row r="615" spans="26:33">
      <c r="Z615" s="414" t="s">
        <v>598</v>
      </c>
      <c r="AA615" s="414" t="s">
        <v>454</v>
      </c>
      <c r="AB615" s="414" t="s">
        <v>582</v>
      </c>
      <c r="AC615" s="414" t="str">
        <f t="shared" si="9"/>
        <v>MoldovaFerry - Car passenger</v>
      </c>
      <c r="AD615" s="414">
        <v>2023</v>
      </c>
      <c r="AE615" s="414">
        <v>0.15865316755798808</v>
      </c>
      <c r="AF615" s="414" t="s">
        <v>619</v>
      </c>
      <c r="AG615" s="414" t="s">
        <v>506</v>
      </c>
    </row>
    <row r="616" spans="26:33">
      <c r="Z616" s="414" t="s">
        <v>600</v>
      </c>
      <c r="AA616" s="414" t="s">
        <v>454</v>
      </c>
      <c r="AB616" s="414" t="s">
        <v>582</v>
      </c>
      <c r="AC616" s="414" t="str">
        <f t="shared" si="9"/>
        <v>MonacoFerry - Car passenger</v>
      </c>
      <c r="AD616" s="414">
        <v>2023</v>
      </c>
      <c r="AE616" s="414">
        <v>0.15865316755798808</v>
      </c>
      <c r="AF616" s="414" t="s">
        <v>619</v>
      </c>
      <c r="AG616" s="414" t="s">
        <v>506</v>
      </c>
    </row>
    <row r="617" spans="26:33">
      <c r="Z617" s="414" t="s">
        <v>602</v>
      </c>
      <c r="AA617" s="414" t="s">
        <v>454</v>
      </c>
      <c r="AB617" s="414" t="s">
        <v>582</v>
      </c>
      <c r="AC617" s="414" t="str">
        <f t="shared" si="9"/>
        <v>MontenegroFerry - Car passenger</v>
      </c>
      <c r="AD617" s="414">
        <v>2023</v>
      </c>
      <c r="AE617" s="414">
        <v>0.15865316755798808</v>
      </c>
      <c r="AF617" s="414" t="s">
        <v>619</v>
      </c>
      <c r="AG617" s="414" t="s">
        <v>506</v>
      </c>
    </row>
    <row r="618" spans="26:33">
      <c r="Z618" s="414" t="s">
        <v>603</v>
      </c>
      <c r="AA618" s="414" t="s">
        <v>454</v>
      </c>
      <c r="AB618" s="414" t="s">
        <v>582</v>
      </c>
      <c r="AC618" s="414" t="str">
        <f t="shared" si="9"/>
        <v>NetherlandsFerry - Car passenger</v>
      </c>
      <c r="AD618" s="414">
        <v>2023</v>
      </c>
      <c r="AE618" s="414">
        <v>0.15865316755798808</v>
      </c>
      <c r="AF618" s="414" t="s">
        <v>619</v>
      </c>
      <c r="AG618" s="414" t="s">
        <v>506</v>
      </c>
    </row>
    <row r="619" spans="26:33">
      <c r="Z619" s="414" t="s">
        <v>605</v>
      </c>
      <c r="AA619" s="414" t="s">
        <v>454</v>
      </c>
      <c r="AB619" s="414" t="s">
        <v>582</v>
      </c>
      <c r="AC619" s="414" t="str">
        <f t="shared" si="9"/>
        <v>North MacedoniaFerry - Car passenger</v>
      </c>
      <c r="AD619" s="414">
        <v>2023</v>
      </c>
      <c r="AE619" s="414">
        <v>0.15865316755798808</v>
      </c>
      <c r="AF619" s="414" t="s">
        <v>619</v>
      </c>
      <c r="AG619" s="414" t="s">
        <v>506</v>
      </c>
    </row>
    <row r="620" spans="26:33">
      <c r="Z620" s="414" t="s">
        <v>606</v>
      </c>
      <c r="AA620" s="414" t="s">
        <v>454</v>
      </c>
      <c r="AB620" s="414" t="s">
        <v>582</v>
      </c>
      <c r="AC620" s="414" t="str">
        <f t="shared" si="9"/>
        <v>NorwayFerry - Car passenger</v>
      </c>
      <c r="AD620" s="414">
        <v>2023</v>
      </c>
      <c r="AE620" s="414">
        <v>0.15865316755798808</v>
      </c>
      <c r="AF620" s="414" t="s">
        <v>619</v>
      </c>
      <c r="AG620" s="414" t="s">
        <v>506</v>
      </c>
    </row>
    <row r="621" spans="26:33">
      <c r="Z621" s="414" t="s">
        <v>607</v>
      </c>
      <c r="AA621" s="414" t="s">
        <v>454</v>
      </c>
      <c r="AB621" s="414" t="s">
        <v>582</v>
      </c>
      <c r="AC621" s="414" t="str">
        <f t="shared" si="9"/>
        <v>PolandFerry - Car passenger</v>
      </c>
      <c r="AD621" s="414">
        <v>2023</v>
      </c>
      <c r="AE621" s="414">
        <v>0.15865316755798808</v>
      </c>
      <c r="AF621" s="414" t="s">
        <v>619</v>
      </c>
      <c r="AG621" s="414" t="s">
        <v>506</v>
      </c>
    </row>
    <row r="622" spans="26:33">
      <c r="Z622" s="414" t="s">
        <v>608</v>
      </c>
      <c r="AA622" s="414" t="s">
        <v>454</v>
      </c>
      <c r="AB622" s="414" t="s">
        <v>582</v>
      </c>
      <c r="AC622" s="414" t="str">
        <f t="shared" si="9"/>
        <v>PortugalFerry - Car passenger</v>
      </c>
      <c r="AD622" s="414">
        <v>2023</v>
      </c>
      <c r="AE622" s="414">
        <v>0.15865316755798808</v>
      </c>
      <c r="AF622" s="414" t="s">
        <v>619</v>
      </c>
      <c r="AG622" s="414" t="s">
        <v>506</v>
      </c>
    </row>
    <row r="623" spans="26:33">
      <c r="Z623" s="414" t="s">
        <v>609</v>
      </c>
      <c r="AA623" s="414" t="s">
        <v>454</v>
      </c>
      <c r="AB623" s="414" t="s">
        <v>582</v>
      </c>
      <c r="AC623" s="414" t="str">
        <f t="shared" si="9"/>
        <v>RomaniaFerry - Car passenger</v>
      </c>
      <c r="AD623" s="414">
        <v>2023</v>
      </c>
      <c r="AE623" s="414">
        <v>0.15865316755798808</v>
      </c>
      <c r="AF623" s="414" t="s">
        <v>619</v>
      </c>
      <c r="AG623" s="414" t="s">
        <v>506</v>
      </c>
    </row>
    <row r="624" spans="26:33">
      <c r="Z624" s="414" t="s">
        <v>610</v>
      </c>
      <c r="AA624" s="414" t="s">
        <v>454</v>
      </c>
      <c r="AB624" s="414" t="s">
        <v>582</v>
      </c>
      <c r="AC624" s="414" t="str">
        <f t="shared" si="9"/>
        <v>San MarinoFerry - Car passenger</v>
      </c>
      <c r="AD624" s="414">
        <v>2023</v>
      </c>
      <c r="AE624" s="414">
        <v>0.15865316755798808</v>
      </c>
      <c r="AF624" s="414" t="s">
        <v>619</v>
      </c>
      <c r="AG624" s="414" t="s">
        <v>506</v>
      </c>
    </row>
    <row r="625" spans="26:33">
      <c r="Z625" s="414" t="s">
        <v>611</v>
      </c>
      <c r="AA625" s="414" t="s">
        <v>454</v>
      </c>
      <c r="AB625" s="414" t="s">
        <v>582</v>
      </c>
      <c r="AC625" s="414" t="str">
        <f t="shared" si="9"/>
        <v>SerbiaFerry - Car passenger</v>
      </c>
      <c r="AD625" s="414">
        <v>2023</v>
      </c>
      <c r="AE625" s="414">
        <v>0.15865316755798808</v>
      </c>
      <c r="AF625" s="414" t="s">
        <v>619</v>
      </c>
      <c r="AG625" s="414" t="s">
        <v>506</v>
      </c>
    </row>
    <row r="626" spans="26:33">
      <c r="Z626" s="414" t="s">
        <v>612</v>
      </c>
      <c r="AA626" s="414" t="s">
        <v>454</v>
      </c>
      <c r="AB626" s="414" t="s">
        <v>582</v>
      </c>
      <c r="AC626" s="414" t="str">
        <f t="shared" si="9"/>
        <v>SlovakiaFerry - Car passenger</v>
      </c>
      <c r="AD626" s="414">
        <v>2023</v>
      </c>
      <c r="AE626" s="414">
        <v>0.15865316755798808</v>
      </c>
      <c r="AF626" s="414" t="s">
        <v>619</v>
      </c>
      <c r="AG626" s="414" t="s">
        <v>506</v>
      </c>
    </row>
    <row r="627" spans="26:33">
      <c r="Z627" s="414" t="s">
        <v>613</v>
      </c>
      <c r="AA627" s="414" t="s">
        <v>454</v>
      </c>
      <c r="AB627" s="414" t="s">
        <v>582</v>
      </c>
      <c r="AC627" s="414" t="str">
        <f t="shared" si="9"/>
        <v>SloveniaFerry - Car passenger</v>
      </c>
      <c r="AD627" s="414">
        <v>2023</v>
      </c>
      <c r="AE627" s="414">
        <v>0.15865316755798808</v>
      </c>
      <c r="AF627" s="414" t="s">
        <v>619</v>
      </c>
      <c r="AG627" s="414" t="s">
        <v>506</v>
      </c>
    </row>
    <row r="628" spans="26:33">
      <c r="Z628" s="414" t="s">
        <v>614</v>
      </c>
      <c r="AA628" s="414" t="s">
        <v>454</v>
      </c>
      <c r="AB628" s="414" t="s">
        <v>582</v>
      </c>
      <c r="AC628" s="414" t="str">
        <f t="shared" si="9"/>
        <v>SpainFerry - Car passenger</v>
      </c>
      <c r="AD628" s="414">
        <v>2023</v>
      </c>
      <c r="AE628" s="414">
        <v>0.15865316755798808</v>
      </c>
      <c r="AF628" s="414" t="s">
        <v>619</v>
      </c>
      <c r="AG628" s="414" t="s">
        <v>506</v>
      </c>
    </row>
    <row r="629" spans="26:33">
      <c r="Z629" s="414" t="s">
        <v>615</v>
      </c>
      <c r="AA629" s="414" t="s">
        <v>454</v>
      </c>
      <c r="AB629" s="414" t="s">
        <v>582</v>
      </c>
      <c r="AC629" s="414" t="str">
        <f t="shared" si="9"/>
        <v>SwedenFerry - Car passenger</v>
      </c>
      <c r="AD629" s="414">
        <v>2023</v>
      </c>
      <c r="AE629" s="414">
        <v>0.15865316755798808</v>
      </c>
      <c r="AF629" s="414" t="s">
        <v>619</v>
      </c>
      <c r="AG629" s="414" t="s">
        <v>506</v>
      </c>
    </row>
    <row r="630" spans="26:33">
      <c r="Z630" s="414" t="s">
        <v>616</v>
      </c>
      <c r="AA630" s="414" t="s">
        <v>454</v>
      </c>
      <c r="AB630" s="414" t="s">
        <v>582</v>
      </c>
      <c r="AC630" s="414" t="str">
        <f t="shared" si="9"/>
        <v>SwitzerlandFerry - Car passenger</v>
      </c>
      <c r="AD630" s="414">
        <v>2023</v>
      </c>
      <c r="AE630" s="414">
        <v>0.15865316755798808</v>
      </c>
      <c r="AF630" s="414" t="s">
        <v>619</v>
      </c>
      <c r="AG630" s="414" t="s">
        <v>506</v>
      </c>
    </row>
    <row r="631" spans="26:33">
      <c r="Z631" s="414" t="s">
        <v>617</v>
      </c>
      <c r="AA631" s="414" t="s">
        <v>454</v>
      </c>
      <c r="AB631" s="414" t="s">
        <v>582</v>
      </c>
      <c r="AC631" s="414" t="str">
        <f t="shared" si="9"/>
        <v>UkraineFerry - Car passenger</v>
      </c>
      <c r="AD631" s="414">
        <v>2023</v>
      </c>
      <c r="AE631" s="414">
        <v>0.15865316755798808</v>
      </c>
      <c r="AF631" s="414" t="s">
        <v>619</v>
      </c>
      <c r="AG631" s="414" t="s">
        <v>506</v>
      </c>
    </row>
    <row r="632" spans="26:33">
      <c r="Z632" s="414" t="s">
        <v>618</v>
      </c>
      <c r="AA632" s="414" t="s">
        <v>454</v>
      </c>
      <c r="AB632" s="414" t="s">
        <v>582</v>
      </c>
      <c r="AC632" s="414" t="str">
        <f t="shared" si="9"/>
        <v>United KingdomFerry - Car passenger</v>
      </c>
      <c r="AD632" s="414">
        <v>2023</v>
      </c>
      <c r="AE632" s="414">
        <v>0.15865316755798808</v>
      </c>
      <c r="AF632" s="414" t="s">
        <v>619</v>
      </c>
      <c r="AG632" s="414" t="s">
        <v>506</v>
      </c>
    </row>
    <row r="633" spans="26:33">
      <c r="Z633" s="414" t="s">
        <v>492</v>
      </c>
      <c r="AA633" s="414" t="s">
        <v>446</v>
      </c>
      <c r="AB633" s="414" t="s">
        <v>503</v>
      </c>
      <c r="AC633" s="414" t="str">
        <f t="shared" si="9"/>
        <v>AlbaniaBicycle - Standard</v>
      </c>
      <c r="AD633" s="414">
        <v>2023</v>
      </c>
      <c r="AE633" s="414">
        <v>0</v>
      </c>
      <c r="AF633" s="414" t="s">
        <v>619</v>
      </c>
      <c r="AG633" s="414" t="s">
        <v>506</v>
      </c>
    </row>
    <row r="634" spans="26:33">
      <c r="Z634" s="414" t="s">
        <v>504</v>
      </c>
      <c r="AA634" s="414" t="s">
        <v>446</v>
      </c>
      <c r="AB634" s="414" t="s">
        <v>503</v>
      </c>
      <c r="AC634" s="414" t="str">
        <f t="shared" si="9"/>
        <v>AndorraBicycle - Standard</v>
      </c>
      <c r="AD634" s="414">
        <v>2023</v>
      </c>
      <c r="AE634" s="414">
        <v>0</v>
      </c>
      <c r="AF634" s="414" t="s">
        <v>619</v>
      </c>
      <c r="AG634" s="414" t="s">
        <v>506</v>
      </c>
    </row>
    <row r="635" spans="26:33">
      <c r="Z635" s="414" t="s">
        <v>513</v>
      </c>
      <c r="AA635" s="414" t="s">
        <v>446</v>
      </c>
      <c r="AB635" s="414" t="s">
        <v>503</v>
      </c>
      <c r="AC635" s="414" t="str">
        <f t="shared" si="9"/>
        <v>AustriaBicycle - Standard</v>
      </c>
      <c r="AD635" s="414">
        <v>2023</v>
      </c>
      <c r="AE635" s="414">
        <v>0</v>
      </c>
      <c r="AF635" s="414" t="s">
        <v>619</v>
      </c>
      <c r="AG635" s="414" t="s">
        <v>506</v>
      </c>
    </row>
    <row r="636" spans="26:33">
      <c r="Z636" s="414" t="s">
        <v>519</v>
      </c>
      <c r="AA636" s="414" t="s">
        <v>446</v>
      </c>
      <c r="AB636" s="414" t="s">
        <v>503</v>
      </c>
      <c r="AC636" s="414" t="str">
        <f t="shared" si="9"/>
        <v>BelarusBicycle - Standard</v>
      </c>
      <c r="AD636" s="414">
        <v>2023</v>
      </c>
      <c r="AE636" s="414">
        <v>0</v>
      </c>
      <c r="AF636" s="414" t="s">
        <v>619</v>
      </c>
      <c r="AG636" s="414" t="s">
        <v>506</v>
      </c>
    </row>
    <row r="637" spans="26:33">
      <c r="Z637" s="414" t="s">
        <v>525</v>
      </c>
      <c r="AA637" s="414" t="s">
        <v>446</v>
      </c>
      <c r="AB637" s="414" t="s">
        <v>503</v>
      </c>
      <c r="AC637" s="414" t="str">
        <f t="shared" si="9"/>
        <v>BelgiumBicycle - Standard</v>
      </c>
      <c r="AD637" s="414">
        <v>2023</v>
      </c>
      <c r="AE637" s="414">
        <v>0</v>
      </c>
      <c r="AF637" s="414" t="s">
        <v>619</v>
      </c>
      <c r="AG637" s="414" t="s">
        <v>506</v>
      </c>
    </row>
    <row r="638" spans="26:33">
      <c r="Z638" s="414" t="s">
        <v>530</v>
      </c>
      <c r="AA638" s="414" t="s">
        <v>446</v>
      </c>
      <c r="AB638" s="414" t="s">
        <v>503</v>
      </c>
      <c r="AC638" s="414" t="str">
        <f t="shared" si="9"/>
        <v>Bosnia and HerzegovinaBicycle - Standard</v>
      </c>
      <c r="AD638" s="414">
        <v>2023</v>
      </c>
      <c r="AE638" s="414">
        <v>0</v>
      </c>
      <c r="AF638" s="414" t="s">
        <v>619</v>
      </c>
      <c r="AG638" s="414" t="s">
        <v>506</v>
      </c>
    </row>
    <row r="639" spans="26:33">
      <c r="Z639" s="414" t="s">
        <v>534</v>
      </c>
      <c r="AA639" s="414" t="s">
        <v>446</v>
      </c>
      <c r="AB639" s="414" t="s">
        <v>503</v>
      </c>
      <c r="AC639" s="414" t="str">
        <f t="shared" si="9"/>
        <v>BulgariaBicycle - Standard</v>
      </c>
      <c r="AD639" s="414">
        <v>2023</v>
      </c>
      <c r="AE639" s="414">
        <v>0</v>
      </c>
      <c r="AF639" s="414" t="s">
        <v>619</v>
      </c>
      <c r="AG639" s="414" t="s">
        <v>506</v>
      </c>
    </row>
    <row r="640" spans="26:33">
      <c r="Z640" s="414" t="s">
        <v>538</v>
      </c>
      <c r="AA640" s="414" t="s">
        <v>446</v>
      </c>
      <c r="AB640" s="414" t="s">
        <v>503</v>
      </c>
      <c r="AC640" s="414" t="str">
        <f t="shared" si="9"/>
        <v>CroatiaBicycle - Standard</v>
      </c>
      <c r="AD640" s="414">
        <v>2023</v>
      </c>
      <c r="AE640" s="414">
        <v>0</v>
      </c>
      <c r="AF640" s="414" t="s">
        <v>619</v>
      </c>
      <c r="AG640" s="414" t="s">
        <v>506</v>
      </c>
    </row>
    <row r="641" spans="26:33">
      <c r="Z641" s="414" t="s">
        <v>542</v>
      </c>
      <c r="AA641" s="414" t="s">
        <v>446</v>
      </c>
      <c r="AB641" s="414" t="s">
        <v>503</v>
      </c>
      <c r="AC641" s="414" t="str">
        <f t="shared" si="9"/>
        <v>CzechiaBicycle - Standard</v>
      </c>
      <c r="AD641" s="414">
        <v>2023</v>
      </c>
      <c r="AE641" s="414">
        <v>0</v>
      </c>
      <c r="AF641" s="414" t="s">
        <v>619</v>
      </c>
      <c r="AG641" s="414" t="s">
        <v>506</v>
      </c>
    </row>
    <row r="642" spans="26:33">
      <c r="Z642" s="414" t="s">
        <v>545</v>
      </c>
      <c r="AA642" s="414" t="s">
        <v>446</v>
      </c>
      <c r="AB642" s="414" t="s">
        <v>503</v>
      </c>
      <c r="AC642" s="414" t="str">
        <f t="shared" si="9"/>
        <v>DenmarkBicycle - Standard</v>
      </c>
      <c r="AD642" s="414">
        <v>2023</v>
      </c>
      <c r="AE642" s="414">
        <v>0</v>
      </c>
      <c r="AF642" s="414" t="s">
        <v>619</v>
      </c>
      <c r="AG642" s="414" t="s">
        <v>506</v>
      </c>
    </row>
    <row r="643" spans="26:33">
      <c r="Z643" s="414" t="s">
        <v>550</v>
      </c>
      <c r="AA643" s="414" t="s">
        <v>446</v>
      </c>
      <c r="AB643" s="414" t="s">
        <v>503</v>
      </c>
      <c r="AC643" s="414" t="str">
        <f t="shared" ref="AC643:AC706" si="10">Z643&amp;AB643</f>
        <v>EstoniaBicycle - Standard</v>
      </c>
      <c r="AD643" s="414">
        <v>2023</v>
      </c>
      <c r="AE643" s="414">
        <v>0</v>
      </c>
      <c r="AF643" s="414" t="s">
        <v>619</v>
      </c>
      <c r="AG643" s="414" t="s">
        <v>506</v>
      </c>
    </row>
    <row r="644" spans="26:33">
      <c r="Z644" s="414" t="s">
        <v>555</v>
      </c>
      <c r="AA644" s="414" t="s">
        <v>446</v>
      </c>
      <c r="AB644" s="414" t="s">
        <v>503</v>
      </c>
      <c r="AC644" s="414" t="str">
        <f t="shared" si="10"/>
        <v>FinlandBicycle - Standard</v>
      </c>
      <c r="AD644" s="414">
        <v>2023</v>
      </c>
      <c r="AE644" s="414">
        <v>0</v>
      </c>
      <c r="AF644" s="414" t="s">
        <v>619</v>
      </c>
      <c r="AG644" s="414" t="s">
        <v>506</v>
      </c>
    </row>
    <row r="645" spans="26:33">
      <c r="Z645" s="414" t="s">
        <v>560</v>
      </c>
      <c r="AA645" s="414" t="s">
        <v>446</v>
      </c>
      <c r="AB645" s="414" t="s">
        <v>503</v>
      </c>
      <c r="AC645" s="414" t="str">
        <f t="shared" si="10"/>
        <v>FranceBicycle - Standard</v>
      </c>
      <c r="AD645" s="414">
        <v>2023</v>
      </c>
      <c r="AE645" s="414">
        <v>0</v>
      </c>
      <c r="AF645" s="414" t="s">
        <v>619</v>
      </c>
      <c r="AG645" s="414" t="s">
        <v>506</v>
      </c>
    </row>
    <row r="646" spans="26:33">
      <c r="Z646" s="414" t="s">
        <v>565</v>
      </c>
      <c r="AA646" s="414" t="s">
        <v>446</v>
      </c>
      <c r="AB646" s="414" t="s">
        <v>503</v>
      </c>
      <c r="AC646" s="414" t="str">
        <f t="shared" si="10"/>
        <v>GermanyBicycle - Standard</v>
      </c>
      <c r="AD646" s="414">
        <v>2023</v>
      </c>
      <c r="AE646" s="414">
        <v>0</v>
      </c>
      <c r="AF646" s="414" t="s">
        <v>619</v>
      </c>
      <c r="AG646" s="414" t="s">
        <v>506</v>
      </c>
    </row>
    <row r="647" spans="26:33">
      <c r="Z647" s="414" t="s">
        <v>570</v>
      </c>
      <c r="AA647" s="414" t="s">
        <v>446</v>
      </c>
      <c r="AB647" s="414" t="s">
        <v>503</v>
      </c>
      <c r="AC647" s="414" t="str">
        <f t="shared" si="10"/>
        <v>GreeceBicycle - Standard</v>
      </c>
      <c r="AD647" s="414">
        <v>2023</v>
      </c>
      <c r="AE647" s="414">
        <v>0</v>
      </c>
      <c r="AF647" s="414" t="s">
        <v>619</v>
      </c>
      <c r="AG647" s="414" t="s">
        <v>506</v>
      </c>
    </row>
    <row r="648" spans="26:33">
      <c r="Z648" s="414" t="s">
        <v>575</v>
      </c>
      <c r="AA648" s="414" t="s">
        <v>446</v>
      </c>
      <c r="AB648" s="414" t="s">
        <v>503</v>
      </c>
      <c r="AC648" s="414" t="str">
        <f t="shared" si="10"/>
        <v>HungaryBicycle - Standard</v>
      </c>
      <c r="AD648" s="414">
        <v>2023</v>
      </c>
      <c r="AE648" s="414">
        <v>0</v>
      </c>
      <c r="AF648" s="414" t="s">
        <v>619</v>
      </c>
      <c r="AG648" s="414" t="s">
        <v>506</v>
      </c>
    </row>
    <row r="649" spans="26:33">
      <c r="Z649" s="414" t="s">
        <v>579</v>
      </c>
      <c r="AA649" s="414" t="s">
        <v>446</v>
      </c>
      <c r="AB649" s="414" t="s">
        <v>503</v>
      </c>
      <c r="AC649" s="414" t="str">
        <f t="shared" si="10"/>
        <v>IcelandBicycle - Standard</v>
      </c>
      <c r="AD649" s="414">
        <v>2023</v>
      </c>
      <c r="AE649" s="414">
        <v>0</v>
      </c>
      <c r="AF649" s="414" t="s">
        <v>619</v>
      </c>
      <c r="AG649" s="414" t="s">
        <v>506</v>
      </c>
    </row>
    <row r="650" spans="26:33">
      <c r="Z650" s="414" t="s">
        <v>583</v>
      </c>
      <c r="AA650" s="414" t="s">
        <v>446</v>
      </c>
      <c r="AB650" s="414" t="s">
        <v>503</v>
      </c>
      <c r="AC650" s="414" t="str">
        <f t="shared" si="10"/>
        <v>IrelandBicycle - Standard</v>
      </c>
      <c r="AD650" s="414">
        <v>2023</v>
      </c>
      <c r="AE650" s="414">
        <v>0</v>
      </c>
      <c r="AF650" s="414" t="s">
        <v>619</v>
      </c>
      <c r="AG650" s="414" t="s">
        <v>506</v>
      </c>
    </row>
    <row r="651" spans="26:33">
      <c r="Z651" s="414" t="s">
        <v>585</v>
      </c>
      <c r="AA651" s="414" t="s">
        <v>446</v>
      </c>
      <c r="AB651" s="414" t="s">
        <v>503</v>
      </c>
      <c r="AC651" s="414" t="str">
        <f t="shared" si="10"/>
        <v>ItalyBicycle - Standard</v>
      </c>
      <c r="AD651" s="414">
        <v>2023</v>
      </c>
      <c r="AE651" s="414">
        <v>0</v>
      </c>
      <c r="AF651" s="414" t="s">
        <v>619</v>
      </c>
      <c r="AG651" s="414" t="s">
        <v>506</v>
      </c>
    </row>
    <row r="652" spans="26:33">
      <c r="Z652" s="414" t="s">
        <v>587</v>
      </c>
      <c r="AA652" s="414" t="s">
        <v>446</v>
      </c>
      <c r="AB652" s="414" t="s">
        <v>503</v>
      </c>
      <c r="AC652" s="414" t="str">
        <f t="shared" si="10"/>
        <v>LatviaBicycle - Standard</v>
      </c>
      <c r="AD652" s="414">
        <v>2023</v>
      </c>
      <c r="AE652" s="414">
        <v>0</v>
      </c>
      <c r="AF652" s="414" t="s">
        <v>619</v>
      </c>
      <c r="AG652" s="414" t="s">
        <v>506</v>
      </c>
    </row>
    <row r="653" spans="26:33">
      <c r="Z653" s="414" t="s">
        <v>589</v>
      </c>
      <c r="AA653" s="414" t="s">
        <v>446</v>
      </c>
      <c r="AB653" s="414" t="s">
        <v>503</v>
      </c>
      <c r="AC653" s="414" t="str">
        <f t="shared" si="10"/>
        <v>LiechtensteinBicycle - Standard</v>
      </c>
      <c r="AD653" s="414">
        <v>2023</v>
      </c>
      <c r="AE653" s="414">
        <v>0</v>
      </c>
      <c r="AF653" s="414" t="s">
        <v>619</v>
      </c>
      <c r="AG653" s="414" t="s">
        <v>506</v>
      </c>
    </row>
    <row r="654" spans="26:33">
      <c r="Z654" s="414" t="s">
        <v>591</v>
      </c>
      <c r="AA654" s="414" t="s">
        <v>446</v>
      </c>
      <c r="AB654" s="414" t="s">
        <v>503</v>
      </c>
      <c r="AC654" s="414" t="str">
        <f t="shared" si="10"/>
        <v>LithuaniaBicycle - Standard</v>
      </c>
      <c r="AD654" s="414">
        <v>2023</v>
      </c>
      <c r="AE654" s="414">
        <v>0</v>
      </c>
      <c r="AF654" s="414" t="s">
        <v>619</v>
      </c>
      <c r="AG654" s="414" t="s">
        <v>506</v>
      </c>
    </row>
    <row r="655" spans="26:33">
      <c r="Z655" s="414" t="s">
        <v>594</v>
      </c>
      <c r="AA655" s="414" t="s">
        <v>446</v>
      </c>
      <c r="AB655" s="414" t="s">
        <v>503</v>
      </c>
      <c r="AC655" s="414" t="str">
        <f t="shared" si="10"/>
        <v>LuxembourgBicycle - Standard</v>
      </c>
      <c r="AD655" s="414">
        <v>2023</v>
      </c>
      <c r="AE655" s="414">
        <v>0</v>
      </c>
      <c r="AF655" s="414" t="s">
        <v>619</v>
      </c>
      <c r="AG655" s="414" t="s">
        <v>506</v>
      </c>
    </row>
    <row r="656" spans="26:33">
      <c r="Z656" s="414" t="s">
        <v>596</v>
      </c>
      <c r="AA656" s="414" t="s">
        <v>446</v>
      </c>
      <c r="AB656" s="414" t="s">
        <v>503</v>
      </c>
      <c r="AC656" s="414" t="str">
        <f t="shared" si="10"/>
        <v>MaltaBicycle - Standard</v>
      </c>
      <c r="AD656" s="414">
        <v>2023</v>
      </c>
      <c r="AE656" s="414">
        <v>0</v>
      </c>
      <c r="AF656" s="414" t="s">
        <v>619</v>
      </c>
      <c r="AG656" s="414" t="s">
        <v>506</v>
      </c>
    </row>
    <row r="657" spans="26:33">
      <c r="Z657" s="414" t="s">
        <v>598</v>
      </c>
      <c r="AA657" s="414" t="s">
        <v>446</v>
      </c>
      <c r="AB657" s="414" t="s">
        <v>503</v>
      </c>
      <c r="AC657" s="414" t="str">
        <f t="shared" si="10"/>
        <v>MoldovaBicycle - Standard</v>
      </c>
      <c r="AD657" s="414">
        <v>2023</v>
      </c>
      <c r="AE657" s="414">
        <v>0</v>
      </c>
      <c r="AF657" s="414" t="s">
        <v>619</v>
      </c>
      <c r="AG657" s="414" t="s">
        <v>506</v>
      </c>
    </row>
    <row r="658" spans="26:33">
      <c r="Z658" s="414" t="s">
        <v>600</v>
      </c>
      <c r="AA658" s="414" t="s">
        <v>446</v>
      </c>
      <c r="AB658" s="414" t="s">
        <v>503</v>
      </c>
      <c r="AC658" s="414" t="str">
        <f t="shared" si="10"/>
        <v>MonacoBicycle - Standard</v>
      </c>
      <c r="AD658" s="414">
        <v>2023</v>
      </c>
      <c r="AE658" s="414">
        <v>0</v>
      </c>
      <c r="AF658" s="414" t="s">
        <v>619</v>
      </c>
      <c r="AG658" s="414" t="s">
        <v>506</v>
      </c>
    </row>
    <row r="659" spans="26:33">
      <c r="Z659" s="414" t="s">
        <v>602</v>
      </c>
      <c r="AA659" s="414" t="s">
        <v>446</v>
      </c>
      <c r="AB659" s="414" t="s">
        <v>503</v>
      </c>
      <c r="AC659" s="414" t="str">
        <f t="shared" si="10"/>
        <v>MontenegroBicycle - Standard</v>
      </c>
      <c r="AD659" s="414">
        <v>2023</v>
      </c>
      <c r="AE659" s="414">
        <v>0</v>
      </c>
      <c r="AF659" s="414" t="s">
        <v>619</v>
      </c>
      <c r="AG659" s="414" t="s">
        <v>506</v>
      </c>
    </row>
    <row r="660" spans="26:33">
      <c r="Z660" s="414" t="s">
        <v>603</v>
      </c>
      <c r="AA660" s="414" t="s">
        <v>446</v>
      </c>
      <c r="AB660" s="414" t="s">
        <v>503</v>
      </c>
      <c r="AC660" s="414" t="str">
        <f t="shared" si="10"/>
        <v>NetherlandsBicycle - Standard</v>
      </c>
      <c r="AD660" s="414">
        <v>2024</v>
      </c>
      <c r="AE660" s="414">
        <v>0</v>
      </c>
      <c r="AF660" s="414" t="s">
        <v>619</v>
      </c>
      <c r="AG660" s="414" t="s">
        <v>604</v>
      </c>
    </row>
    <row r="661" spans="26:33">
      <c r="Z661" s="414" t="s">
        <v>605</v>
      </c>
      <c r="AA661" s="414" t="s">
        <v>446</v>
      </c>
      <c r="AB661" s="414" t="s">
        <v>503</v>
      </c>
      <c r="AC661" s="414" t="str">
        <f t="shared" si="10"/>
        <v>North MacedoniaBicycle - Standard</v>
      </c>
      <c r="AD661" s="414">
        <v>2023</v>
      </c>
      <c r="AE661" s="414">
        <v>0</v>
      </c>
      <c r="AF661" s="414" t="s">
        <v>619</v>
      </c>
      <c r="AG661" s="414" t="s">
        <v>506</v>
      </c>
    </row>
    <row r="662" spans="26:33">
      <c r="Z662" s="414" t="s">
        <v>606</v>
      </c>
      <c r="AA662" s="414" t="s">
        <v>446</v>
      </c>
      <c r="AB662" s="414" t="s">
        <v>503</v>
      </c>
      <c r="AC662" s="414" t="str">
        <f t="shared" si="10"/>
        <v>NorwayBicycle - Standard</v>
      </c>
      <c r="AD662" s="414">
        <v>2023</v>
      </c>
      <c r="AE662" s="414">
        <v>0</v>
      </c>
      <c r="AF662" s="414" t="s">
        <v>619</v>
      </c>
      <c r="AG662" s="414" t="s">
        <v>506</v>
      </c>
    </row>
    <row r="663" spans="26:33">
      <c r="Z663" s="414" t="s">
        <v>607</v>
      </c>
      <c r="AA663" s="414" t="s">
        <v>446</v>
      </c>
      <c r="AB663" s="414" t="s">
        <v>503</v>
      </c>
      <c r="AC663" s="414" t="str">
        <f t="shared" si="10"/>
        <v>PolandBicycle - Standard</v>
      </c>
      <c r="AD663" s="414">
        <v>2023</v>
      </c>
      <c r="AE663" s="414">
        <v>0</v>
      </c>
      <c r="AF663" s="414" t="s">
        <v>619</v>
      </c>
      <c r="AG663" s="414" t="s">
        <v>506</v>
      </c>
    </row>
    <row r="664" spans="26:33">
      <c r="Z664" s="414" t="s">
        <v>608</v>
      </c>
      <c r="AA664" s="414" t="s">
        <v>446</v>
      </c>
      <c r="AB664" s="414" t="s">
        <v>503</v>
      </c>
      <c r="AC664" s="414" t="str">
        <f t="shared" si="10"/>
        <v>PortugalBicycle - Standard</v>
      </c>
      <c r="AD664" s="414">
        <v>2023</v>
      </c>
      <c r="AE664" s="414">
        <v>0</v>
      </c>
      <c r="AF664" s="414" t="s">
        <v>619</v>
      </c>
      <c r="AG664" s="414" t="s">
        <v>506</v>
      </c>
    </row>
    <row r="665" spans="26:33">
      <c r="Z665" s="414" t="s">
        <v>609</v>
      </c>
      <c r="AA665" s="414" t="s">
        <v>446</v>
      </c>
      <c r="AB665" s="414" t="s">
        <v>503</v>
      </c>
      <c r="AC665" s="414" t="str">
        <f t="shared" si="10"/>
        <v>RomaniaBicycle - Standard</v>
      </c>
      <c r="AD665" s="414">
        <v>2023</v>
      </c>
      <c r="AE665" s="414">
        <v>0</v>
      </c>
      <c r="AF665" s="414" t="s">
        <v>619</v>
      </c>
      <c r="AG665" s="414" t="s">
        <v>506</v>
      </c>
    </row>
    <row r="666" spans="26:33">
      <c r="Z666" s="414" t="s">
        <v>610</v>
      </c>
      <c r="AA666" s="414" t="s">
        <v>446</v>
      </c>
      <c r="AB666" s="414" t="s">
        <v>503</v>
      </c>
      <c r="AC666" s="414" t="str">
        <f t="shared" si="10"/>
        <v>San MarinoBicycle - Standard</v>
      </c>
      <c r="AD666" s="414">
        <v>2023</v>
      </c>
      <c r="AE666" s="414">
        <v>0</v>
      </c>
      <c r="AF666" s="414" t="s">
        <v>619</v>
      </c>
      <c r="AG666" s="414" t="s">
        <v>506</v>
      </c>
    </row>
    <row r="667" spans="26:33">
      <c r="Z667" s="414" t="s">
        <v>611</v>
      </c>
      <c r="AA667" s="414" t="s">
        <v>446</v>
      </c>
      <c r="AB667" s="414" t="s">
        <v>503</v>
      </c>
      <c r="AC667" s="414" t="str">
        <f t="shared" si="10"/>
        <v>SerbiaBicycle - Standard</v>
      </c>
      <c r="AD667" s="414">
        <v>2023</v>
      </c>
      <c r="AE667" s="414">
        <v>0</v>
      </c>
      <c r="AF667" s="414" t="s">
        <v>619</v>
      </c>
      <c r="AG667" s="414" t="s">
        <v>506</v>
      </c>
    </row>
    <row r="668" spans="26:33">
      <c r="Z668" s="414" t="s">
        <v>612</v>
      </c>
      <c r="AA668" s="414" t="s">
        <v>446</v>
      </c>
      <c r="AB668" s="414" t="s">
        <v>503</v>
      </c>
      <c r="AC668" s="414" t="str">
        <f t="shared" si="10"/>
        <v>SlovakiaBicycle - Standard</v>
      </c>
      <c r="AD668" s="414">
        <v>2023</v>
      </c>
      <c r="AE668" s="414">
        <v>0</v>
      </c>
      <c r="AF668" s="414" t="s">
        <v>619</v>
      </c>
      <c r="AG668" s="414" t="s">
        <v>506</v>
      </c>
    </row>
    <row r="669" spans="26:33">
      <c r="Z669" s="414" t="s">
        <v>613</v>
      </c>
      <c r="AA669" s="414" t="s">
        <v>446</v>
      </c>
      <c r="AB669" s="414" t="s">
        <v>503</v>
      </c>
      <c r="AC669" s="414" t="str">
        <f t="shared" si="10"/>
        <v>SloveniaBicycle - Standard</v>
      </c>
      <c r="AD669" s="414">
        <v>2023</v>
      </c>
      <c r="AE669" s="414">
        <v>0</v>
      </c>
      <c r="AF669" s="414" t="s">
        <v>619</v>
      </c>
      <c r="AG669" s="414" t="s">
        <v>506</v>
      </c>
    </row>
    <row r="670" spans="26:33">
      <c r="Z670" s="414" t="s">
        <v>614</v>
      </c>
      <c r="AA670" s="414" t="s">
        <v>446</v>
      </c>
      <c r="AB670" s="414" t="s">
        <v>503</v>
      </c>
      <c r="AC670" s="414" t="str">
        <f t="shared" si="10"/>
        <v>SpainBicycle - Standard</v>
      </c>
      <c r="AD670" s="414">
        <v>2023</v>
      </c>
      <c r="AE670" s="414">
        <v>0</v>
      </c>
      <c r="AF670" s="414" t="s">
        <v>619</v>
      </c>
      <c r="AG670" s="414" t="s">
        <v>506</v>
      </c>
    </row>
    <row r="671" spans="26:33">
      <c r="Z671" s="414" t="s">
        <v>615</v>
      </c>
      <c r="AA671" s="414" t="s">
        <v>446</v>
      </c>
      <c r="AB671" s="414" t="s">
        <v>503</v>
      </c>
      <c r="AC671" s="414" t="str">
        <f t="shared" si="10"/>
        <v>SwedenBicycle - Standard</v>
      </c>
      <c r="AD671" s="414">
        <v>2023</v>
      </c>
      <c r="AE671" s="414">
        <v>0</v>
      </c>
      <c r="AF671" s="414" t="s">
        <v>619</v>
      </c>
      <c r="AG671" s="414" t="s">
        <v>506</v>
      </c>
    </row>
    <row r="672" spans="26:33">
      <c r="Z672" s="414" t="s">
        <v>616</v>
      </c>
      <c r="AA672" s="414" t="s">
        <v>446</v>
      </c>
      <c r="AB672" s="414" t="s">
        <v>503</v>
      </c>
      <c r="AC672" s="414" t="str">
        <f t="shared" si="10"/>
        <v>SwitzerlandBicycle - Standard</v>
      </c>
      <c r="AD672" s="414">
        <v>2023</v>
      </c>
      <c r="AE672" s="414">
        <v>0</v>
      </c>
      <c r="AF672" s="414" t="s">
        <v>619</v>
      </c>
      <c r="AG672" s="414" t="s">
        <v>506</v>
      </c>
    </row>
    <row r="673" spans="26:33">
      <c r="Z673" s="414" t="s">
        <v>617</v>
      </c>
      <c r="AA673" s="414" t="s">
        <v>446</v>
      </c>
      <c r="AB673" s="414" t="s">
        <v>503</v>
      </c>
      <c r="AC673" s="414" t="str">
        <f t="shared" si="10"/>
        <v>UkraineBicycle - Standard</v>
      </c>
      <c r="AD673" s="414">
        <v>2023</v>
      </c>
      <c r="AE673" s="414">
        <v>0</v>
      </c>
      <c r="AF673" s="414" t="s">
        <v>619</v>
      </c>
      <c r="AG673" s="414" t="s">
        <v>506</v>
      </c>
    </row>
    <row r="674" spans="26:33">
      <c r="Z674" s="414" t="s">
        <v>618</v>
      </c>
      <c r="AA674" s="414" t="s">
        <v>446</v>
      </c>
      <c r="AB674" s="414" t="s">
        <v>503</v>
      </c>
      <c r="AC674" s="414" t="str">
        <f t="shared" si="10"/>
        <v>United KingdomBicycle - Standard</v>
      </c>
      <c r="AD674" s="414">
        <v>2023</v>
      </c>
      <c r="AE674" s="414">
        <v>0</v>
      </c>
      <c r="AF674" s="414" t="s">
        <v>619</v>
      </c>
      <c r="AG674" s="414" t="s">
        <v>506</v>
      </c>
    </row>
    <row r="675" spans="26:33">
      <c r="Z675" s="414" t="s">
        <v>492</v>
      </c>
      <c r="AA675" s="414" t="s">
        <v>446</v>
      </c>
      <c r="AB675" s="414" t="s">
        <v>512</v>
      </c>
      <c r="AC675" s="414" t="str">
        <f t="shared" si="10"/>
        <v>AlbaniaBicycle - Electric</v>
      </c>
      <c r="AD675" s="414">
        <v>2023</v>
      </c>
      <c r="AE675" s="414">
        <v>1.09E-2</v>
      </c>
      <c r="AF675" s="414" t="s">
        <v>619</v>
      </c>
      <c r="AG675" s="414" t="s">
        <v>495</v>
      </c>
    </row>
    <row r="676" spans="26:33">
      <c r="Z676" s="414" t="s">
        <v>504</v>
      </c>
      <c r="AA676" s="414" t="s">
        <v>446</v>
      </c>
      <c r="AB676" s="414" t="s">
        <v>512</v>
      </c>
      <c r="AC676" s="414" t="str">
        <f t="shared" si="10"/>
        <v>AndorraBicycle - Electric</v>
      </c>
      <c r="AD676" s="414">
        <v>2023</v>
      </c>
      <c r="AE676" s="414">
        <v>1.09E-2</v>
      </c>
      <c r="AF676" s="414" t="s">
        <v>619</v>
      </c>
      <c r="AG676" s="414" t="s">
        <v>495</v>
      </c>
    </row>
    <row r="677" spans="26:33">
      <c r="Z677" s="414" t="s">
        <v>513</v>
      </c>
      <c r="AA677" s="414" t="s">
        <v>446</v>
      </c>
      <c r="AB677" s="414" t="s">
        <v>512</v>
      </c>
      <c r="AC677" s="414" t="str">
        <f t="shared" si="10"/>
        <v>AustriaBicycle - Electric</v>
      </c>
      <c r="AD677" s="414">
        <v>2023</v>
      </c>
      <c r="AE677" s="414">
        <v>1.09E-2</v>
      </c>
      <c r="AF677" s="414" t="s">
        <v>619</v>
      </c>
      <c r="AG677" s="414" t="s">
        <v>495</v>
      </c>
    </row>
    <row r="678" spans="26:33">
      <c r="Z678" s="414" t="s">
        <v>519</v>
      </c>
      <c r="AA678" s="414" t="s">
        <v>446</v>
      </c>
      <c r="AB678" s="414" t="s">
        <v>512</v>
      </c>
      <c r="AC678" s="414" t="str">
        <f t="shared" si="10"/>
        <v>BelarusBicycle - Electric</v>
      </c>
      <c r="AD678" s="414">
        <v>2023</v>
      </c>
      <c r="AE678" s="414">
        <v>1.09E-2</v>
      </c>
      <c r="AF678" s="414" t="s">
        <v>619</v>
      </c>
      <c r="AG678" s="414" t="s">
        <v>495</v>
      </c>
    </row>
    <row r="679" spans="26:33">
      <c r="Z679" s="414" t="s">
        <v>525</v>
      </c>
      <c r="AA679" s="414" t="s">
        <v>446</v>
      </c>
      <c r="AB679" s="414" t="s">
        <v>512</v>
      </c>
      <c r="AC679" s="414" t="str">
        <f t="shared" si="10"/>
        <v>BelgiumBicycle - Electric</v>
      </c>
      <c r="AD679" s="414">
        <v>2023</v>
      </c>
      <c r="AE679" s="414">
        <v>3.0000000000000001E-3</v>
      </c>
      <c r="AF679" s="414" t="s">
        <v>619</v>
      </c>
      <c r="AG679" s="414" t="s">
        <v>526</v>
      </c>
    </row>
    <row r="680" spans="26:33">
      <c r="Z680" s="414" t="s">
        <v>530</v>
      </c>
      <c r="AA680" s="414" t="s">
        <v>446</v>
      </c>
      <c r="AB680" s="414" t="s">
        <v>512</v>
      </c>
      <c r="AC680" s="414" t="str">
        <f t="shared" si="10"/>
        <v>Bosnia and HerzegovinaBicycle - Electric</v>
      </c>
      <c r="AD680" s="414">
        <v>2023</v>
      </c>
      <c r="AE680" s="414">
        <v>1.09E-2</v>
      </c>
      <c r="AF680" s="414" t="s">
        <v>619</v>
      </c>
      <c r="AG680" s="414" t="s">
        <v>495</v>
      </c>
    </row>
    <row r="681" spans="26:33">
      <c r="Z681" s="414" t="s">
        <v>534</v>
      </c>
      <c r="AA681" s="414" t="s">
        <v>446</v>
      </c>
      <c r="AB681" s="414" t="s">
        <v>512</v>
      </c>
      <c r="AC681" s="414" t="str">
        <f t="shared" si="10"/>
        <v>BulgariaBicycle - Electric</v>
      </c>
      <c r="AD681" s="414">
        <v>2023</v>
      </c>
      <c r="AE681" s="414">
        <v>1.09E-2</v>
      </c>
      <c r="AF681" s="414" t="s">
        <v>619</v>
      </c>
      <c r="AG681" s="414" t="s">
        <v>495</v>
      </c>
    </row>
    <row r="682" spans="26:33">
      <c r="Z682" s="414" t="s">
        <v>538</v>
      </c>
      <c r="AA682" s="414" t="s">
        <v>446</v>
      </c>
      <c r="AB682" s="414" t="s">
        <v>512</v>
      </c>
      <c r="AC682" s="414" t="str">
        <f t="shared" si="10"/>
        <v>CroatiaBicycle - Electric</v>
      </c>
      <c r="AD682" s="414">
        <v>2023</v>
      </c>
      <c r="AE682" s="414">
        <v>1.09E-2</v>
      </c>
      <c r="AF682" s="414" t="s">
        <v>619</v>
      </c>
      <c r="AG682" s="414" t="s">
        <v>495</v>
      </c>
    </row>
    <row r="683" spans="26:33">
      <c r="Z683" s="414" t="s">
        <v>542</v>
      </c>
      <c r="AA683" s="414" t="s">
        <v>446</v>
      </c>
      <c r="AB683" s="414" t="s">
        <v>512</v>
      </c>
      <c r="AC683" s="414" t="str">
        <f t="shared" si="10"/>
        <v>CzechiaBicycle - Electric</v>
      </c>
      <c r="AD683" s="414">
        <v>2023</v>
      </c>
      <c r="AE683" s="414">
        <v>1.09E-2</v>
      </c>
      <c r="AF683" s="414" t="s">
        <v>619</v>
      </c>
      <c r="AG683" s="414" t="s">
        <v>495</v>
      </c>
    </row>
    <row r="684" spans="26:33">
      <c r="Z684" s="414" t="s">
        <v>545</v>
      </c>
      <c r="AA684" s="414" t="s">
        <v>446</v>
      </c>
      <c r="AB684" s="414" t="s">
        <v>512</v>
      </c>
      <c r="AC684" s="414" t="str">
        <f t="shared" si="10"/>
        <v>DenmarkBicycle - Electric</v>
      </c>
      <c r="AD684" s="414">
        <v>2023</v>
      </c>
      <c r="AE684" s="414">
        <v>1.09E-2</v>
      </c>
      <c r="AF684" s="414" t="s">
        <v>619</v>
      </c>
      <c r="AG684" s="414" t="s">
        <v>495</v>
      </c>
    </row>
    <row r="685" spans="26:33">
      <c r="Z685" s="414" t="s">
        <v>550</v>
      </c>
      <c r="AA685" s="414" t="s">
        <v>446</v>
      </c>
      <c r="AB685" s="414" t="s">
        <v>512</v>
      </c>
      <c r="AC685" s="414" t="str">
        <f t="shared" si="10"/>
        <v>EstoniaBicycle - Electric</v>
      </c>
      <c r="AD685" s="414">
        <v>2023</v>
      </c>
      <c r="AE685" s="414">
        <v>1.09E-2</v>
      </c>
      <c r="AF685" s="414" t="s">
        <v>619</v>
      </c>
      <c r="AG685" s="414" t="s">
        <v>495</v>
      </c>
    </row>
    <row r="686" spans="26:33">
      <c r="Z686" s="414" t="s">
        <v>555</v>
      </c>
      <c r="AA686" s="414" t="s">
        <v>446</v>
      </c>
      <c r="AB686" s="414" t="s">
        <v>512</v>
      </c>
      <c r="AC686" s="414" t="str">
        <f t="shared" si="10"/>
        <v>FinlandBicycle - Electric</v>
      </c>
      <c r="AD686" s="414">
        <v>2023</v>
      </c>
      <c r="AE686" s="414">
        <v>1.09E-2</v>
      </c>
      <c r="AF686" s="414" t="s">
        <v>619</v>
      </c>
      <c r="AG686" s="414" t="s">
        <v>495</v>
      </c>
    </row>
    <row r="687" spans="26:33">
      <c r="Z687" s="414" t="s">
        <v>560</v>
      </c>
      <c r="AA687" s="414" t="s">
        <v>446</v>
      </c>
      <c r="AB687" s="414" t="s">
        <v>512</v>
      </c>
      <c r="AC687" s="414" t="str">
        <f t="shared" si="10"/>
        <v>FranceBicycle - Electric</v>
      </c>
      <c r="AD687" s="414">
        <v>2023</v>
      </c>
      <c r="AE687" s="414">
        <v>1.09E-2</v>
      </c>
      <c r="AF687" s="414" t="s">
        <v>619</v>
      </c>
      <c r="AG687" s="414" t="s">
        <v>495</v>
      </c>
    </row>
    <row r="688" spans="26:33">
      <c r="Z688" s="414" t="s">
        <v>565</v>
      </c>
      <c r="AA688" s="414" t="s">
        <v>446</v>
      </c>
      <c r="AB688" s="414" t="s">
        <v>512</v>
      </c>
      <c r="AC688" s="414" t="str">
        <f t="shared" si="10"/>
        <v>GermanyBicycle - Electric</v>
      </c>
      <c r="AD688" s="414">
        <v>2023</v>
      </c>
      <c r="AE688" s="414">
        <v>1.09E-2</v>
      </c>
      <c r="AF688" s="414" t="s">
        <v>619</v>
      </c>
      <c r="AG688" s="414" t="s">
        <v>495</v>
      </c>
    </row>
    <row r="689" spans="26:33">
      <c r="Z689" s="414" t="s">
        <v>570</v>
      </c>
      <c r="AA689" s="414" t="s">
        <v>446</v>
      </c>
      <c r="AB689" s="414" t="s">
        <v>512</v>
      </c>
      <c r="AC689" s="414" t="str">
        <f t="shared" si="10"/>
        <v>GreeceBicycle - Electric</v>
      </c>
      <c r="AD689" s="414">
        <v>2023</v>
      </c>
      <c r="AE689" s="414">
        <v>1.09E-2</v>
      </c>
      <c r="AF689" s="414" t="s">
        <v>619</v>
      </c>
      <c r="AG689" s="414" t="s">
        <v>495</v>
      </c>
    </row>
    <row r="690" spans="26:33">
      <c r="Z690" s="414" t="s">
        <v>575</v>
      </c>
      <c r="AA690" s="414" t="s">
        <v>446</v>
      </c>
      <c r="AB690" s="414" t="s">
        <v>512</v>
      </c>
      <c r="AC690" s="414" t="str">
        <f t="shared" si="10"/>
        <v>HungaryBicycle - Electric</v>
      </c>
      <c r="AD690" s="414">
        <v>2023</v>
      </c>
      <c r="AE690" s="414">
        <v>1.09E-2</v>
      </c>
      <c r="AF690" s="414" t="s">
        <v>619</v>
      </c>
      <c r="AG690" s="414" t="s">
        <v>495</v>
      </c>
    </row>
    <row r="691" spans="26:33">
      <c r="Z691" s="414" t="s">
        <v>579</v>
      </c>
      <c r="AA691" s="414" t="s">
        <v>446</v>
      </c>
      <c r="AB691" s="414" t="s">
        <v>512</v>
      </c>
      <c r="AC691" s="414" t="str">
        <f t="shared" si="10"/>
        <v>IcelandBicycle - Electric</v>
      </c>
      <c r="AD691" s="414">
        <v>2023</v>
      </c>
      <c r="AE691" s="414">
        <v>1.09E-2</v>
      </c>
      <c r="AF691" s="414" t="s">
        <v>619</v>
      </c>
      <c r="AG691" s="414" t="s">
        <v>495</v>
      </c>
    </row>
    <row r="692" spans="26:33">
      <c r="Z692" s="414" t="s">
        <v>583</v>
      </c>
      <c r="AA692" s="414" t="s">
        <v>446</v>
      </c>
      <c r="AB692" s="414" t="s">
        <v>512</v>
      </c>
      <c r="AC692" s="414" t="str">
        <f t="shared" si="10"/>
        <v>IrelandBicycle - Electric</v>
      </c>
      <c r="AD692" s="414">
        <v>2023</v>
      </c>
      <c r="AE692" s="414">
        <v>1.09E-2</v>
      </c>
      <c r="AF692" s="414" t="s">
        <v>619</v>
      </c>
      <c r="AG692" s="414" t="s">
        <v>495</v>
      </c>
    </row>
    <row r="693" spans="26:33">
      <c r="Z693" s="414" t="s">
        <v>585</v>
      </c>
      <c r="AA693" s="414" t="s">
        <v>446</v>
      </c>
      <c r="AB693" s="414" t="s">
        <v>512</v>
      </c>
      <c r="AC693" s="414" t="str">
        <f t="shared" si="10"/>
        <v>ItalyBicycle - Electric</v>
      </c>
      <c r="AD693" s="414">
        <v>2023</v>
      </c>
      <c r="AE693" s="414">
        <v>1.09E-2</v>
      </c>
      <c r="AF693" s="414" t="s">
        <v>619</v>
      </c>
      <c r="AG693" s="414" t="s">
        <v>495</v>
      </c>
    </row>
    <row r="694" spans="26:33">
      <c r="Z694" s="414" t="s">
        <v>587</v>
      </c>
      <c r="AA694" s="414" t="s">
        <v>446</v>
      </c>
      <c r="AB694" s="414" t="s">
        <v>512</v>
      </c>
      <c r="AC694" s="414" t="str">
        <f t="shared" si="10"/>
        <v>LatviaBicycle - Electric</v>
      </c>
      <c r="AD694" s="414">
        <v>2023</v>
      </c>
      <c r="AE694" s="414">
        <v>1.09E-2</v>
      </c>
      <c r="AF694" s="414" t="s">
        <v>619</v>
      </c>
      <c r="AG694" s="414" t="s">
        <v>495</v>
      </c>
    </row>
    <row r="695" spans="26:33">
      <c r="Z695" s="414" t="s">
        <v>589</v>
      </c>
      <c r="AA695" s="414" t="s">
        <v>446</v>
      </c>
      <c r="AB695" s="414" t="s">
        <v>512</v>
      </c>
      <c r="AC695" s="414" t="str">
        <f t="shared" si="10"/>
        <v>LiechtensteinBicycle - Electric</v>
      </c>
      <c r="AD695" s="414">
        <v>2023</v>
      </c>
      <c r="AE695" s="414">
        <v>1.09E-2</v>
      </c>
      <c r="AF695" s="414" t="s">
        <v>619</v>
      </c>
      <c r="AG695" s="414" t="s">
        <v>495</v>
      </c>
    </row>
    <row r="696" spans="26:33">
      <c r="Z696" s="414" t="s">
        <v>591</v>
      </c>
      <c r="AA696" s="414" t="s">
        <v>446</v>
      </c>
      <c r="AB696" s="414" t="s">
        <v>512</v>
      </c>
      <c r="AC696" s="414" t="str">
        <f t="shared" si="10"/>
        <v>LithuaniaBicycle - Electric</v>
      </c>
      <c r="AD696" s="414">
        <v>2023</v>
      </c>
      <c r="AE696" s="414">
        <v>1.09E-2</v>
      </c>
      <c r="AF696" s="414" t="s">
        <v>619</v>
      </c>
      <c r="AG696" s="414" t="s">
        <v>495</v>
      </c>
    </row>
    <row r="697" spans="26:33">
      <c r="Z697" s="414" t="s">
        <v>594</v>
      </c>
      <c r="AA697" s="414" t="s">
        <v>446</v>
      </c>
      <c r="AB697" s="414" t="s">
        <v>512</v>
      </c>
      <c r="AC697" s="414" t="str">
        <f t="shared" si="10"/>
        <v>LuxembourgBicycle - Electric</v>
      </c>
      <c r="AD697" s="414">
        <v>2023</v>
      </c>
      <c r="AE697" s="414">
        <v>1.09E-2</v>
      </c>
      <c r="AF697" s="414" t="s">
        <v>619</v>
      </c>
      <c r="AG697" s="414" t="s">
        <v>495</v>
      </c>
    </row>
    <row r="698" spans="26:33">
      <c r="Z698" s="414" t="s">
        <v>596</v>
      </c>
      <c r="AA698" s="414" t="s">
        <v>446</v>
      </c>
      <c r="AB698" s="414" t="s">
        <v>512</v>
      </c>
      <c r="AC698" s="414" t="str">
        <f t="shared" si="10"/>
        <v>MaltaBicycle - Electric</v>
      </c>
      <c r="AD698" s="414">
        <v>2023</v>
      </c>
      <c r="AE698" s="414">
        <v>1.09E-2</v>
      </c>
      <c r="AF698" s="414" t="s">
        <v>619</v>
      </c>
      <c r="AG698" s="414" t="s">
        <v>495</v>
      </c>
    </row>
    <row r="699" spans="26:33">
      <c r="Z699" s="414" t="s">
        <v>598</v>
      </c>
      <c r="AA699" s="414" t="s">
        <v>446</v>
      </c>
      <c r="AB699" s="414" t="s">
        <v>512</v>
      </c>
      <c r="AC699" s="414" t="str">
        <f t="shared" si="10"/>
        <v>MoldovaBicycle - Electric</v>
      </c>
      <c r="AD699" s="414">
        <v>2023</v>
      </c>
      <c r="AE699" s="414">
        <v>1.09E-2</v>
      </c>
      <c r="AF699" s="414" t="s">
        <v>619</v>
      </c>
      <c r="AG699" s="414" t="s">
        <v>495</v>
      </c>
    </row>
    <row r="700" spans="26:33">
      <c r="Z700" s="414" t="s">
        <v>600</v>
      </c>
      <c r="AA700" s="414" t="s">
        <v>446</v>
      </c>
      <c r="AB700" s="414" t="s">
        <v>512</v>
      </c>
      <c r="AC700" s="414" t="str">
        <f t="shared" si="10"/>
        <v>MonacoBicycle - Electric</v>
      </c>
      <c r="AD700" s="414">
        <v>2023</v>
      </c>
      <c r="AE700" s="414">
        <v>1.09E-2</v>
      </c>
      <c r="AF700" s="414" t="s">
        <v>619</v>
      </c>
      <c r="AG700" s="414" t="s">
        <v>495</v>
      </c>
    </row>
    <row r="701" spans="26:33">
      <c r="Z701" s="414" t="s">
        <v>602</v>
      </c>
      <c r="AA701" s="414" t="s">
        <v>446</v>
      </c>
      <c r="AB701" s="414" t="s">
        <v>512</v>
      </c>
      <c r="AC701" s="414" t="str">
        <f t="shared" si="10"/>
        <v>MontenegroBicycle - Electric</v>
      </c>
      <c r="AD701" s="414">
        <v>2023</v>
      </c>
      <c r="AE701" s="414">
        <v>1.09E-2</v>
      </c>
      <c r="AF701" s="414" t="s">
        <v>619</v>
      </c>
      <c r="AG701" s="414" t="s">
        <v>495</v>
      </c>
    </row>
    <row r="702" spans="26:33">
      <c r="Z702" s="414" t="s">
        <v>603</v>
      </c>
      <c r="AA702" s="414" t="s">
        <v>446</v>
      </c>
      <c r="AB702" s="414" t="s">
        <v>512</v>
      </c>
      <c r="AC702" s="414" t="str">
        <f t="shared" si="10"/>
        <v>NetherlandsBicycle - Electric</v>
      </c>
      <c r="AD702" s="414">
        <v>2024</v>
      </c>
      <c r="AE702" s="422">
        <v>3.0999999999999999E-3</v>
      </c>
      <c r="AF702" s="414" t="s">
        <v>619</v>
      </c>
      <c r="AG702" s="414" t="s">
        <v>604</v>
      </c>
    </row>
    <row r="703" spans="26:33">
      <c r="Z703" s="414" t="s">
        <v>605</v>
      </c>
      <c r="AA703" s="414" t="s">
        <v>446</v>
      </c>
      <c r="AB703" s="414" t="s">
        <v>512</v>
      </c>
      <c r="AC703" s="414" t="str">
        <f t="shared" si="10"/>
        <v>North MacedoniaBicycle - Electric</v>
      </c>
      <c r="AD703" s="414">
        <v>2023</v>
      </c>
      <c r="AE703" s="414">
        <v>1.09E-2</v>
      </c>
      <c r="AF703" s="414" t="s">
        <v>619</v>
      </c>
      <c r="AG703" s="414" t="s">
        <v>495</v>
      </c>
    </row>
    <row r="704" spans="26:33">
      <c r="Z704" s="414" t="s">
        <v>606</v>
      </c>
      <c r="AA704" s="414" t="s">
        <v>446</v>
      </c>
      <c r="AB704" s="414" t="s">
        <v>512</v>
      </c>
      <c r="AC704" s="414" t="str">
        <f t="shared" si="10"/>
        <v>NorwayBicycle - Electric</v>
      </c>
      <c r="AD704" s="414">
        <v>2023</v>
      </c>
      <c r="AE704" s="414">
        <v>1.09E-2</v>
      </c>
      <c r="AF704" s="414" t="s">
        <v>619</v>
      </c>
      <c r="AG704" s="414" t="s">
        <v>495</v>
      </c>
    </row>
    <row r="705" spans="26:33">
      <c r="Z705" s="414" t="s">
        <v>607</v>
      </c>
      <c r="AA705" s="414" t="s">
        <v>446</v>
      </c>
      <c r="AB705" s="414" t="s">
        <v>512</v>
      </c>
      <c r="AC705" s="414" t="str">
        <f t="shared" si="10"/>
        <v>PolandBicycle - Electric</v>
      </c>
      <c r="AD705" s="414">
        <v>2023</v>
      </c>
      <c r="AE705" s="414">
        <v>1.09E-2</v>
      </c>
      <c r="AF705" s="414" t="s">
        <v>619</v>
      </c>
      <c r="AG705" s="414" t="s">
        <v>495</v>
      </c>
    </row>
    <row r="706" spans="26:33">
      <c r="Z706" s="414" t="s">
        <v>608</v>
      </c>
      <c r="AA706" s="414" t="s">
        <v>446</v>
      </c>
      <c r="AB706" s="414" t="s">
        <v>512</v>
      </c>
      <c r="AC706" s="414" t="str">
        <f t="shared" si="10"/>
        <v>PortugalBicycle - Electric</v>
      </c>
      <c r="AD706" s="414">
        <v>2023</v>
      </c>
      <c r="AE706" s="414">
        <v>1.09E-2</v>
      </c>
      <c r="AF706" s="414" t="s">
        <v>619</v>
      </c>
      <c r="AG706" s="414" t="s">
        <v>495</v>
      </c>
    </row>
    <row r="707" spans="26:33">
      <c r="Z707" s="414" t="s">
        <v>609</v>
      </c>
      <c r="AA707" s="414" t="s">
        <v>446</v>
      </c>
      <c r="AB707" s="414" t="s">
        <v>512</v>
      </c>
      <c r="AC707" s="414" t="str">
        <f t="shared" ref="AC707:AC770" si="11">Z707&amp;AB707</f>
        <v>RomaniaBicycle - Electric</v>
      </c>
      <c r="AD707" s="414">
        <v>2023</v>
      </c>
      <c r="AE707" s="414">
        <v>1.09E-2</v>
      </c>
      <c r="AF707" s="414" t="s">
        <v>619</v>
      </c>
      <c r="AG707" s="414" t="s">
        <v>495</v>
      </c>
    </row>
    <row r="708" spans="26:33">
      <c r="Z708" s="414" t="s">
        <v>610</v>
      </c>
      <c r="AA708" s="414" t="s">
        <v>446</v>
      </c>
      <c r="AB708" s="414" t="s">
        <v>512</v>
      </c>
      <c r="AC708" s="414" t="str">
        <f t="shared" si="11"/>
        <v>San MarinoBicycle - Electric</v>
      </c>
      <c r="AD708" s="414">
        <v>2023</v>
      </c>
      <c r="AE708" s="414">
        <v>1.09E-2</v>
      </c>
      <c r="AF708" s="414" t="s">
        <v>619</v>
      </c>
      <c r="AG708" s="414" t="s">
        <v>495</v>
      </c>
    </row>
    <row r="709" spans="26:33">
      <c r="Z709" s="414" t="s">
        <v>611</v>
      </c>
      <c r="AA709" s="414" t="s">
        <v>446</v>
      </c>
      <c r="AB709" s="414" t="s">
        <v>512</v>
      </c>
      <c r="AC709" s="414" t="str">
        <f t="shared" si="11"/>
        <v>SerbiaBicycle - Electric</v>
      </c>
      <c r="AD709" s="414">
        <v>2023</v>
      </c>
      <c r="AE709" s="414">
        <v>1.09E-2</v>
      </c>
      <c r="AF709" s="414" t="s">
        <v>619</v>
      </c>
      <c r="AG709" s="414" t="s">
        <v>495</v>
      </c>
    </row>
    <row r="710" spans="26:33">
      <c r="Z710" s="414" t="s">
        <v>612</v>
      </c>
      <c r="AA710" s="414" t="s">
        <v>446</v>
      </c>
      <c r="AB710" s="414" t="s">
        <v>512</v>
      </c>
      <c r="AC710" s="414" t="str">
        <f t="shared" si="11"/>
        <v>SlovakiaBicycle - Electric</v>
      </c>
      <c r="AD710" s="414">
        <v>2023</v>
      </c>
      <c r="AE710" s="414">
        <v>1.09E-2</v>
      </c>
      <c r="AF710" s="414" t="s">
        <v>619</v>
      </c>
      <c r="AG710" s="414" t="s">
        <v>495</v>
      </c>
    </row>
    <row r="711" spans="26:33">
      <c r="Z711" s="414" t="s">
        <v>613</v>
      </c>
      <c r="AA711" s="414" t="s">
        <v>446</v>
      </c>
      <c r="AB711" s="414" t="s">
        <v>512</v>
      </c>
      <c r="AC711" s="414" t="str">
        <f t="shared" si="11"/>
        <v>SloveniaBicycle - Electric</v>
      </c>
      <c r="AD711" s="414">
        <v>2023</v>
      </c>
      <c r="AE711" s="414">
        <v>1.09E-2</v>
      </c>
      <c r="AF711" s="414" t="s">
        <v>619</v>
      </c>
      <c r="AG711" s="414" t="s">
        <v>495</v>
      </c>
    </row>
    <row r="712" spans="26:33">
      <c r="Z712" s="414" t="s">
        <v>614</v>
      </c>
      <c r="AA712" s="414" t="s">
        <v>446</v>
      </c>
      <c r="AB712" s="414" t="s">
        <v>512</v>
      </c>
      <c r="AC712" s="414" t="str">
        <f t="shared" si="11"/>
        <v>SpainBicycle - Electric</v>
      </c>
      <c r="AD712" s="414">
        <v>2023</v>
      </c>
      <c r="AE712" s="414">
        <v>1.09E-2</v>
      </c>
      <c r="AF712" s="414" t="s">
        <v>619</v>
      </c>
      <c r="AG712" s="414" t="s">
        <v>495</v>
      </c>
    </row>
    <row r="713" spans="26:33">
      <c r="Z713" s="414" t="s">
        <v>615</v>
      </c>
      <c r="AA713" s="414" t="s">
        <v>446</v>
      </c>
      <c r="AB713" s="414" t="s">
        <v>512</v>
      </c>
      <c r="AC713" s="414" t="str">
        <f t="shared" si="11"/>
        <v>SwedenBicycle - Electric</v>
      </c>
      <c r="AD713" s="414">
        <v>2023</v>
      </c>
      <c r="AE713" s="414">
        <v>1.09E-2</v>
      </c>
      <c r="AF713" s="414" t="s">
        <v>619</v>
      </c>
      <c r="AG713" s="414" t="s">
        <v>495</v>
      </c>
    </row>
    <row r="714" spans="26:33">
      <c r="Z714" s="414" t="s">
        <v>616</v>
      </c>
      <c r="AA714" s="414" t="s">
        <v>446</v>
      </c>
      <c r="AB714" s="414" t="s">
        <v>512</v>
      </c>
      <c r="AC714" s="414" t="str">
        <f t="shared" si="11"/>
        <v>SwitzerlandBicycle - Electric</v>
      </c>
      <c r="AD714" s="414">
        <v>2023</v>
      </c>
      <c r="AE714" s="414">
        <v>1.09E-2</v>
      </c>
      <c r="AF714" s="414" t="s">
        <v>619</v>
      </c>
      <c r="AG714" s="414" t="s">
        <v>495</v>
      </c>
    </row>
    <row r="715" spans="26:33">
      <c r="Z715" s="414" t="s">
        <v>617</v>
      </c>
      <c r="AA715" s="414" t="s">
        <v>446</v>
      </c>
      <c r="AB715" s="414" t="s">
        <v>512</v>
      </c>
      <c r="AC715" s="414" t="str">
        <f t="shared" si="11"/>
        <v>UkraineBicycle - Electric</v>
      </c>
      <c r="AD715" s="414">
        <v>2023</v>
      </c>
      <c r="AE715" s="414">
        <v>1.09E-2</v>
      </c>
      <c r="AF715" s="414" t="s">
        <v>619</v>
      </c>
      <c r="AG715" s="414" t="s">
        <v>495</v>
      </c>
    </row>
    <row r="716" spans="26:33">
      <c r="Z716" s="414" t="s">
        <v>618</v>
      </c>
      <c r="AA716" s="414" t="s">
        <v>446</v>
      </c>
      <c r="AB716" s="414" t="s">
        <v>512</v>
      </c>
      <c r="AC716" s="414" t="str">
        <f t="shared" si="11"/>
        <v>United KingdomBicycle - Electric</v>
      </c>
      <c r="AD716" s="414">
        <v>2023</v>
      </c>
      <c r="AE716" s="414">
        <v>1.09E-2</v>
      </c>
      <c r="AF716" s="414" t="s">
        <v>619</v>
      </c>
      <c r="AG716" s="414" t="s">
        <v>495</v>
      </c>
    </row>
    <row r="717" spans="26:33">
      <c r="Z717" s="424" t="s">
        <v>492</v>
      </c>
      <c r="AA717" s="421" t="s">
        <v>449</v>
      </c>
      <c r="AB717" s="414" t="s">
        <v>524</v>
      </c>
      <c r="AC717" s="421" t="str">
        <f t="shared" si="11"/>
        <v>AlbaniaCar - Average</v>
      </c>
      <c r="AD717" s="421">
        <v>2023</v>
      </c>
      <c r="AE717" s="421">
        <v>0.21741843624161075</v>
      </c>
      <c r="AF717" s="421" t="s">
        <v>625</v>
      </c>
      <c r="AG717" s="421" t="s">
        <v>506</v>
      </c>
    </row>
    <row r="718" spans="26:33">
      <c r="Z718" s="424" t="s">
        <v>492</v>
      </c>
      <c r="AA718" s="421" t="s">
        <v>449</v>
      </c>
      <c r="AB718" s="414" t="s">
        <v>533</v>
      </c>
      <c r="AC718" s="421" t="str">
        <f t="shared" si="11"/>
        <v>AlbaniaCar - Diesel</v>
      </c>
      <c r="AD718" s="421">
        <v>2023</v>
      </c>
      <c r="AE718" s="421">
        <v>0.21127644888053693</v>
      </c>
      <c r="AF718" s="421" t="s">
        <v>625</v>
      </c>
      <c r="AG718" s="421" t="s">
        <v>506</v>
      </c>
    </row>
    <row r="719" spans="26:33">
      <c r="Z719" s="424" t="s">
        <v>492</v>
      </c>
      <c r="AA719" s="421" t="s">
        <v>449</v>
      </c>
      <c r="AB719" s="414" t="s">
        <v>529</v>
      </c>
      <c r="AC719" s="421" t="str">
        <f t="shared" si="11"/>
        <v>AlbaniaCar - Petrol</v>
      </c>
      <c r="AD719" s="421">
        <v>2023</v>
      </c>
      <c r="AE719" s="421">
        <v>0.2094185342281879</v>
      </c>
      <c r="AF719" s="421" t="s">
        <v>625</v>
      </c>
      <c r="AG719" s="421" t="s">
        <v>506</v>
      </c>
    </row>
    <row r="720" spans="26:33">
      <c r="Z720" s="424" t="s">
        <v>492</v>
      </c>
      <c r="AA720" s="421" t="s">
        <v>449</v>
      </c>
      <c r="AB720" s="414" t="s">
        <v>537</v>
      </c>
      <c r="AC720" s="421" t="str">
        <f t="shared" si="11"/>
        <v>AlbaniaCar - Hybrid</v>
      </c>
      <c r="AD720" s="421">
        <v>2023</v>
      </c>
      <c r="AE720" s="421">
        <v>0.15006858791946306</v>
      </c>
      <c r="AF720" s="421" t="s">
        <v>625</v>
      </c>
      <c r="AG720" s="421" t="s">
        <v>506</v>
      </c>
    </row>
    <row r="721" spans="26:33">
      <c r="Z721" s="424" t="s">
        <v>504</v>
      </c>
      <c r="AA721" s="421" t="s">
        <v>449</v>
      </c>
      <c r="AB721" s="414" t="s">
        <v>524</v>
      </c>
      <c r="AC721" s="421" t="str">
        <f t="shared" si="11"/>
        <v>AndorraCar - Average</v>
      </c>
      <c r="AD721" s="421">
        <v>2023</v>
      </c>
      <c r="AE721" s="421">
        <v>0.21741843624161075</v>
      </c>
      <c r="AF721" s="421" t="s">
        <v>625</v>
      </c>
      <c r="AG721" s="421" t="s">
        <v>506</v>
      </c>
    </row>
    <row r="722" spans="26:33">
      <c r="Z722" s="424" t="s">
        <v>504</v>
      </c>
      <c r="AA722" s="421" t="s">
        <v>449</v>
      </c>
      <c r="AB722" s="414" t="s">
        <v>533</v>
      </c>
      <c r="AC722" s="421" t="str">
        <f t="shared" si="11"/>
        <v>AndorraCar - Diesel</v>
      </c>
      <c r="AD722" s="421">
        <v>2023</v>
      </c>
      <c r="AE722" s="421">
        <v>0.21127644888053693</v>
      </c>
      <c r="AF722" s="421" t="s">
        <v>625</v>
      </c>
      <c r="AG722" s="421" t="s">
        <v>506</v>
      </c>
    </row>
    <row r="723" spans="26:33">
      <c r="Z723" s="424" t="s">
        <v>504</v>
      </c>
      <c r="AA723" s="421" t="s">
        <v>449</v>
      </c>
      <c r="AB723" s="414" t="s">
        <v>529</v>
      </c>
      <c r="AC723" s="421" t="str">
        <f t="shared" si="11"/>
        <v>AndorraCar - Petrol</v>
      </c>
      <c r="AD723" s="421">
        <v>2023</v>
      </c>
      <c r="AE723" s="421">
        <v>0.2094185342281879</v>
      </c>
      <c r="AF723" s="421" t="s">
        <v>625</v>
      </c>
      <c r="AG723" s="421" t="s">
        <v>506</v>
      </c>
    </row>
    <row r="724" spans="26:33">
      <c r="Z724" s="424" t="s">
        <v>504</v>
      </c>
      <c r="AA724" s="421" t="s">
        <v>449</v>
      </c>
      <c r="AB724" s="414" t="s">
        <v>537</v>
      </c>
      <c r="AC724" s="421" t="str">
        <f t="shared" si="11"/>
        <v>AndorraCar - Hybrid</v>
      </c>
      <c r="AD724" s="421">
        <v>2023</v>
      </c>
      <c r="AE724" s="421">
        <v>0.15006858791946306</v>
      </c>
      <c r="AF724" s="421" t="s">
        <v>625</v>
      </c>
      <c r="AG724" s="421" t="s">
        <v>506</v>
      </c>
    </row>
    <row r="725" spans="26:33">
      <c r="Z725" s="424" t="s">
        <v>513</v>
      </c>
      <c r="AA725" s="421" t="s">
        <v>449</v>
      </c>
      <c r="AB725" s="414" t="s">
        <v>524</v>
      </c>
      <c r="AC725" s="421" t="str">
        <f t="shared" si="11"/>
        <v>AustriaCar - Average</v>
      </c>
      <c r="AD725" s="421">
        <v>2023</v>
      </c>
      <c r="AE725" s="421">
        <v>0.21741843624161075</v>
      </c>
      <c r="AF725" s="421" t="s">
        <v>625</v>
      </c>
      <c r="AG725" s="421" t="s">
        <v>506</v>
      </c>
    </row>
    <row r="726" spans="26:33">
      <c r="Z726" s="424" t="s">
        <v>513</v>
      </c>
      <c r="AA726" s="421" t="s">
        <v>449</v>
      </c>
      <c r="AB726" s="414" t="s">
        <v>533</v>
      </c>
      <c r="AC726" s="421" t="str">
        <f t="shared" si="11"/>
        <v>AustriaCar - Diesel</v>
      </c>
      <c r="AD726" s="421">
        <v>2023</v>
      </c>
      <c r="AE726" s="421">
        <v>0.21127644888053693</v>
      </c>
      <c r="AF726" s="421" t="s">
        <v>625</v>
      </c>
      <c r="AG726" s="421" t="s">
        <v>506</v>
      </c>
    </row>
    <row r="727" spans="26:33">
      <c r="Z727" s="424" t="s">
        <v>513</v>
      </c>
      <c r="AA727" s="421" t="s">
        <v>449</v>
      </c>
      <c r="AB727" s="414" t="s">
        <v>529</v>
      </c>
      <c r="AC727" s="421" t="str">
        <f t="shared" si="11"/>
        <v>AustriaCar - Petrol</v>
      </c>
      <c r="AD727" s="421">
        <v>2023</v>
      </c>
      <c r="AE727" s="421">
        <v>0.2094185342281879</v>
      </c>
      <c r="AF727" s="421" t="s">
        <v>625</v>
      </c>
      <c r="AG727" s="421" t="s">
        <v>506</v>
      </c>
    </row>
    <row r="728" spans="26:33">
      <c r="Z728" s="424" t="s">
        <v>513</v>
      </c>
      <c r="AA728" s="421" t="s">
        <v>449</v>
      </c>
      <c r="AB728" s="414" t="s">
        <v>537</v>
      </c>
      <c r="AC728" s="421" t="str">
        <f t="shared" si="11"/>
        <v>AustriaCar - Hybrid</v>
      </c>
      <c r="AD728" s="421">
        <v>2023</v>
      </c>
      <c r="AE728" s="421">
        <v>0.15006858791946306</v>
      </c>
      <c r="AF728" s="421" t="s">
        <v>625</v>
      </c>
      <c r="AG728" s="421" t="s">
        <v>506</v>
      </c>
    </row>
    <row r="729" spans="26:33">
      <c r="Z729" s="424" t="s">
        <v>519</v>
      </c>
      <c r="AA729" s="421" t="s">
        <v>449</v>
      </c>
      <c r="AB729" s="414" t="s">
        <v>524</v>
      </c>
      <c r="AC729" s="421" t="str">
        <f t="shared" si="11"/>
        <v>BelarusCar - Average</v>
      </c>
      <c r="AD729" s="421">
        <v>2023</v>
      </c>
      <c r="AE729" s="421">
        <v>0.21741843624161075</v>
      </c>
      <c r="AF729" s="421" t="s">
        <v>625</v>
      </c>
      <c r="AG729" s="421" t="s">
        <v>506</v>
      </c>
    </row>
    <row r="730" spans="26:33">
      <c r="Z730" s="424" t="s">
        <v>519</v>
      </c>
      <c r="AA730" s="421" t="s">
        <v>449</v>
      </c>
      <c r="AB730" s="414" t="s">
        <v>533</v>
      </c>
      <c r="AC730" s="421" t="str">
        <f t="shared" si="11"/>
        <v>BelarusCar - Diesel</v>
      </c>
      <c r="AD730" s="421">
        <v>2023</v>
      </c>
      <c r="AE730" s="421">
        <v>0.21127644888053693</v>
      </c>
      <c r="AF730" s="421" t="s">
        <v>625</v>
      </c>
      <c r="AG730" s="421" t="s">
        <v>506</v>
      </c>
    </row>
    <row r="731" spans="26:33">
      <c r="Z731" s="424" t="s">
        <v>519</v>
      </c>
      <c r="AA731" s="421" t="s">
        <v>449</v>
      </c>
      <c r="AB731" s="414" t="s">
        <v>529</v>
      </c>
      <c r="AC731" s="421" t="str">
        <f t="shared" si="11"/>
        <v>BelarusCar - Petrol</v>
      </c>
      <c r="AD731" s="421">
        <v>2023</v>
      </c>
      <c r="AE731" s="421">
        <v>0.2094185342281879</v>
      </c>
      <c r="AF731" s="421" t="s">
        <v>625</v>
      </c>
      <c r="AG731" s="421" t="s">
        <v>506</v>
      </c>
    </row>
    <row r="732" spans="26:33">
      <c r="Z732" s="424" t="s">
        <v>519</v>
      </c>
      <c r="AA732" s="421" t="s">
        <v>449</v>
      </c>
      <c r="AB732" s="414" t="s">
        <v>537</v>
      </c>
      <c r="AC732" s="421" t="str">
        <f t="shared" si="11"/>
        <v>BelarusCar - Hybrid</v>
      </c>
      <c r="AD732" s="421">
        <v>2023</v>
      </c>
      <c r="AE732" s="421">
        <v>0.15006858791946306</v>
      </c>
      <c r="AF732" s="421" t="s">
        <v>625</v>
      </c>
      <c r="AG732" s="421" t="s">
        <v>506</v>
      </c>
    </row>
    <row r="733" spans="26:33">
      <c r="Z733" s="424" t="s">
        <v>525</v>
      </c>
      <c r="AA733" s="421" t="s">
        <v>449</v>
      </c>
      <c r="AB733" s="414" t="s">
        <v>524</v>
      </c>
      <c r="AC733" s="421" t="str">
        <f t="shared" si="11"/>
        <v>BelgiumCar - Average</v>
      </c>
      <c r="AD733" s="421">
        <v>2023</v>
      </c>
      <c r="AE733" s="421">
        <v>0.21741843624161075</v>
      </c>
      <c r="AF733" s="421" t="s">
        <v>625</v>
      </c>
      <c r="AG733" s="421" t="s">
        <v>506</v>
      </c>
    </row>
    <row r="734" spans="26:33">
      <c r="Z734" s="424" t="s">
        <v>525</v>
      </c>
      <c r="AA734" s="421" t="s">
        <v>449</v>
      </c>
      <c r="AB734" s="414" t="s">
        <v>533</v>
      </c>
      <c r="AC734" s="421" t="str">
        <f t="shared" si="11"/>
        <v>BelgiumCar - Diesel</v>
      </c>
      <c r="AD734" s="421">
        <v>2023</v>
      </c>
      <c r="AE734" s="421">
        <v>0.21127644888053693</v>
      </c>
      <c r="AF734" s="421" t="s">
        <v>625</v>
      </c>
      <c r="AG734" s="421" t="s">
        <v>506</v>
      </c>
    </row>
    <row r="735" spans="26:33">
      <c r="Z735" s="424" t="s">
        <v>525</v>
      </c>
      <c r="AA735" s="421" t="s">
        <v>449</v>
      </c>
      <c r="AB735" s="414" t="s">
        <v>529</v>
      </c>
      <c r="AC735" s="421" t="str">
        <f t="shared" si="11"/>
        <v>BelgiumCar - Petrol</v>
      </c>
      <c r="AD735" s="421">
        <v>2023</v>
      </c>
      <c r="AE735" s="421">
        <v>0.2094185342281879</v>
      </c>
      <c r="AF735" s="421" t="s">
        <v>625</v>
      </c>
      <c r="AG735" s="421" t="s">
        <v>506</v>
      </c>
    </row>
    <row r="736" spans="26:33">
      <c r="Z736" s="424" t="s">
        <v>525</v>
      </c>
      <c r="AA736" s="421" t="s">
        <v>449</v>
      </c>
      <c r="AB736" s="414" t="s">
        <v>537</v>
      </c>
      <c r="AC736" s="421" t="str">
        <f t="shared" si="11"/>
        <v>BelgiumCar - Hybrid</v>
      </c>
      <c r="AD736" s="421">
        <v>2023</v>
      </c>
      <c r="AE736" s="421">
        <v>0.15006858791946306</v>
      </c>
      <c r="AF736" s="421" t="s">
        <v>625</v>
      </c>
      <c r="AG736" s="421" t="s">
        <v>506</v>
      </c>
    </row>
    <row r="737" spans="26:33">
      <c r="Z737" s="424" t="s">
        <v>530</v>
      </c>
      <c r="AA737" s="421" t="s">
        <v>449</v>
      </c>
      <c r="AB737" s="414" t="s">
        <v>524</v>
      </c>
      <c r="AC737" s="421" t="str">
        <f t="shared" si="11"/>
        <v>Bosnia and HerzegovinaCar - Average</v>
      </c>
      <c r="AD737" s="421">
        <v>2023</v>
      </c>
      <c r="AE737" s="421">
        <v>0.21741843624161075</v>
      </c>
      <c r="AF737" s="421" t="s">
        <v>625</v>
      </c>
      <c r="AG737" s="421" t="s">
        <v>506</v>
      </c>
    </row>
    <row r="738" spans="26:33">
      <c r="Z738" s="424" t="s">
        <v>530</v>
      </c>
      <c r="AA738" s="421" t="s">
        <v>449</v>
      </c>
      <c r="AB738" s="414" t="s">
        <v>533</v>
      </c>
      <c r="AC738" s="421" t="str">
        <f t="shared" si="11"/>
        <v>Bosnia and HerzegovinaCar - Diesel</v>
      </c>
      <c r="AD738" s="421">
        <v>2023</v>
      </c>
      <c r="AE738" s="421">
        <v>0.21127644888053693</v>
      </c>
      <c r="AF738" s="421" t="s">
        <v>625</v>
      </c>
      <c r="AG738" s="421" t="s">
        <v>506</v>
      </c>
    </row>
    <row r="739" spans="26:33">
      <c r="Z739" s="424" t="s">
        <v>530</v>
      </c>
      <c r="AA739" s="421" t="s">
        <v>449</v>
      </c>
      <c r="AB739" s="414" t="s">
        <v>529</v>
      </c>
      <c r="AC739" s="421" t="str">
        <f t="shared" si="11"/>
        <v>Bosnia and HerzegovinaCar - Petrol</v>
      </c>
      <c r="AD739" s="421">
        <v>2023</v>
      </c>
      <c r="AE739" s="421">
        <v>0.2094185342281879</v>
      </c>
      <c r="AF739" s="421" t="s">
        <v>625</v>
      </c>
      <c r="AG739" s="421" t="s">
        <v>506</v>
      </c>
    </row>
    <row r="740" spans="26:33">
      <c r="Z740" s="424" t="s">
        <v>530</v>
      </c>
      <c r="AA740" s="421" t="s">
        <v>449</v>
      </c>
      <c r="AB740" s="414" t="s">
        <v>537</v>
      </c>
      <c r="AC740" s="421" t="str">
        <f t="shared" si="11"/>
        <v>Bosnia and HerzegovinaCar - Hybrid</v>
      </c>
      <c r="AD740" s="421">
        <v>2023</v>
      </c>
      <c r="AE740" s="421">
        <v>0.15006858791946306</v>
      </c>
      <c r="AF740" s="421" t="s">
        <v>625</v>
      </c>
      <c r="AG740" s="421" t="s">
        <v>506</v>
      </c>
    </row>
    <row r="741" spans="26:33">
      <c r="Z741" s="424" t="s">
        <v>534</v>
      </c>
      <c r="AA741" s="421" t="s">
        <v>449</v>
      </c>
      <c r="AB741" s="414" t="s">
        <v>524</v>
      </c>
      <c r="AC741" s="421" t="str">
        <f t="shared" si="11"/>
        <v>BulgariaCar - Average</v>
      </c>
      <c r="AD741" s="421">
        <v>2023</v>
      </c>
      <c r="AE741" s="421">
        <v>0.21741843624161075</v>
      </c>
      <c r="AF741" s="421" t="s">
        <v>625</v>
      </c>
      <c r="AG741" s="421" t="s">
        <v>506</v>
      </c>
    </row>
    <row r="742" spans="26:33">
      <c r="Z742" s="424" t="s">
        <v>534</v>
      </c>
      <c r="AA742" s="421" t="s">
        <v>449</v>
      </c>
      <c r="AB742" s="414" t="s">
        <v>533</v>
      </c>
      <c r="AC742" s="421" t="str">
        <f t="shared" si="11"/>
        <v>BulgariaCar - Diesel</v>
      </c>
      <c r="AD742" s="421">
        <v>2023</v>
      </c>
      <c r="AE742" s="421">
        <v>0.21127644888053693</v>
      </c>
      <c r="AF742" s="421" t="s">
        <v>625</v>
      </c>
      <c r="AG742" s="421" t="s">
        <v>506</v>
      </c>
    </row>
    <row r="743" spans="26:33">
      <c r="Z743" s="424" t="s">
        <v>534</v>
      </c>
      <c r="AA743" s="421" t="s">
        <v>449</v>
      </c>
      <c r="AB743" s="414" t="s">
        <v>529</v>
      </c>
      <c r="AC743" s="421" t="str">
        <f t="shared" si="11"/>
        <v>BulgariaCar - Petrol</v>
      </c>
      <c r="AD743" s="421">
        <v>2023</v>
      </c>
      <c r="AE743" s="421">
        <v>0.2094185342281879</v>
      </c>
      <c r="AF743" s="421" t="s">
        <v>625</v>
      </c>
      <c r="AG743" s="421" t="s">
        <v>506</v>
      </c>
    </row>
    <row r="744" spans="26:33">
      <c r="Z744" s="424" t="s">
        <v>534</v>
      </c>
      <c r="AA744" s="421" t="s">
        <v>449</v>
      </c>
      <c r="AB744" s="414" t="s">
        <v>537</v>
      </c>
      <c r="AC744" s="421" t="str">
        <f t="shared" si="11"/>
        <v>BulgariaCar - Hybrid</v>
      </c>
      <c r="AD744" s="421">
        <v>2023</v>
      </c>
      <c r="AE744" s="421">
        <v>0.15006858791946306</v>
      </c>
      <c r="AF744" s="421" t="s">
        <v>625</v>
      </c>
      <c r="AG744" s="421" t="s">
        <v>506</v>
      </c>
    </row>
    <row r="745" spans="26:33">
      <c r="Z745" s="424" t="s">
        <v>538</v>
      </c>
      <c r="AA745" s="421" t="s">
        <v>449</v>
      </c>
      <c r="AB745" s="414" t="s">
        <v>524</v>
      </c>
      <c r="AC745" s="421" t="str">
        <f t="shared" si="11"/>
        <v>CroatiaCar - Average</v>
      </c>
      <c r="AD745" s="421">
        <v>2023</v>
      </c>
      <c r="AE745" s="421">
        <v>0.21741843624161075</v>
      </c>
      <c r="AF745" s="421" t="s">
        <v>625</v>
      </c>
      <c r="AG745" s="421" t="s">
        <v>506</v>
      </c>
    </row>
    <row r="746" spans="26:33">
      <c r="Z746" s="424" t="s">
        <v>538</v>
      </c>
      <c r="AA746" s="421" t="s">
        <v>449</v>
      </c>
      <c r="AB746" s="414" t="s">
        <v>533</v>
      </c>
      <c r="AC746" s="421" t="str">
        <f t="shared" si="11"/>
        <v>CroatiaCar - Diesel</v>
      </c>
      <c r="AD746" s="421">
        <v>2023</v>
      </c>
      <c r="AE746" s="421">
        <v>0.21127644888053693</v>
      </c>
      <c r="AF746" s="421" t="s">
        <v>625</v>
      </c>
      <c r="AG746" s="421" t="s">
        <v>506</v>
      </c>
    </row>
    <row r="747" spans="26:33">
      <c r="Z747" s="424" t="s">
        <v>538</v>
      </c>
      <c r="AA747" s="421" t="s">
        <v>449</v>
      </c>
      <c r="AB747" s="414" t="s">
        <v>529</v>
      </c>
      <c r="AC747" s="421" t="str">
        <f t="shared" si="11"/>
        <v>CroatiaCar - Petrol</v>
      </c>
      <c r="AD747" s="421">
        <v>2023</v>
      </c>
      <c r="AE747" s="421">
        <v>0.2094185342281879</v>
      </c>
      <c r="AF747" s="421" t="s">
        <v>625</v>
      </c>
      <c r="AG747" s="421" t="s">
        <v>506</v>
      </c>
    </row>
    <row r="748" spans="26:33">
      <c r="Z748" s="424" t="s">
        <v>538</v>
      </c>
      <c r="AA748" s="421" t="s">
        <v>449</v>
      </c>
      <c r="AB748" s="414" t="s">
        <v>537</v>
      </c>
      <c r="AC748" s="421" t="str">
        <f t="shared" si="11"/>
        <v>CroatiaCar - Hybrid</v>
      </c>
      <c r="AD748" s="421">
        <v>2023</v>
      </c>
      <c r="AE748" s="421">
        <v>0.15006858791946306</v>
      </c>
      <c r="AF748" s="421" t="s">
        <v>625</v>
      </c>
      <c r="AG748" s="421" t="s">
        <v>506</v>
      </c>
    </row>
    <row r="749" spans="26:33">
      <c r="Z749" s="424" t="s">
        <v>626</v>
      </c>
      <c r="AA749" s="421" t="s">
        <v>449</v>
      </c>
      <c r="AB749" s="414" t="s">
        <v>524</v>
      </c>
      <c r="AC749" s="421" t="str">
        <f t="shared" si="11"/>
        <v>CyprusCar - Average</v>
      </c>
      <c r="AD749" s="421">
        <v>2023</v>
      </c>
      <c r="AE749" s="421">
        <v>0.21741843624161075</v>
      </c>
      <c r="AF749" s="421" t="s">
        <v>625</v>
      </c>
      <c r="AG749" s="421" t="s">
        <v>506</v>
      </c>
    </row>
    <row r="750" spans="26:33">
      <c r="Z750" s="424" t="s">
        <v>626</v>
      </c>
      <c r="AA750" s="421" t="s">
        <v>449</v>
      </c>
      <c r="AB750" s="414" t="s">
        <v>533</v>
      </c>
      <c r="AC750" s="421" t="str">
        <f t="shared" si="11"/>
        <v>CyprusCar - Diesel</v>
      </c>
      <c r="AD750" s="421">
        <v>2023</v>
      </c>
      <c r="AE750" s="421">
        <v>0.21127644888053693</v>
      </c>
      <c r="AF750" s="421" t="s">
        <v>625</v>
      </c>
      <c r="AG750" s="421" t="s">
        <v>506</v>
      </c>
    </row>
    <row r="751" spans="26:33">
      <c r="Z751" s="424" t="s">
        <v>626</v>
      </c>
      <c r="AA751" s="421" t="s">
        <v>449</v>
      </c>
      <c r="AB751" s="414" t="s">
        <v>529</v>
      </c>
      <c r="AC751" s="421" t="str">
        <f t="shared" si="11"/>
        <v>CyprusCar - Petrol</v>
      </c>
      <c r="AD751" s="421">
        <v>2023</v>
      </c>
      <c r="AE751" s="421">
        <v>0.2094185342281879</v>
      </c>
      <c r="AF751" s="421" t="s">
        <v>625</v>
      </c>
      <c r="AG751" s="421" t="s">
        <v>506</v>
      </c>
    </row>
    <row r="752" spans="26:33">
      <c r="Z752" s="424" t="s">
        <v>626</v>
      </c>
      <c r="AA752" s="421" t="s">
        <v>449</v>
      </c>
      <c r="AB752" s="414" t="s">
        <v>537</v>
      </c>
      <c r="AC752" s="421" t="str">
        <f t="shared" si="11"/>
        <v>CyprusCar - Hybrid</v>
      </c>
      <c r="AD752" s="421">
        <v>2023</v>
      </c>
      <c r="AE752" s="421">
        <v>0.15006858791946306</v>
      </c>
      <c r="AF752" s="421" t="s">
        <v>625</v>
      </c>
      <c r="AG752" s="421" t="s">
        <v>506</v>
      </c>
    </row>
    <row r="753" spans="26:33">
      <c r="Z753" s="424" t="s">
        <v>542</v>
      </c>
      <c r="AA753" s="421" t="s">
        <v>449</v>
      </c>
      <c r="AB753" s="414" t="s">
        <v>524</v>
      </c>
      <c r="AC753" s="421" t="str">
        <f t="shared" si="11"/>
        <v>CzechiaCar - Average</v>
      </c>
      <c r="AD753" s="421">
        <v>2023</v>
      </c>
      <c r="AE753" s="421">
        <v>0.21741843624161075</v>
      </c>
      <c r="AF753" s="421" t="s">
        <v>625</v>
      </c>
      <c r="AG753" s="421" t="s">
        <v>506</v>
      </c>
    </row>
    <row r="754" spans="26:33">
      <c r="Z754" s="424" t="s">
        <v>542</v>
      </c>
      <c r="AA754" s="421" t="s">
        <v>449</v>
      </c>
      <c r="AB754" s="414" t="s">
        <v>533</v>
      </c>
      <c r="AC754" s="421" t="str">
        <f t="shared" si="11"/>
        <v>CzechiaCar - Diesel</v>
      </c>
      <c r="AD754" s="421">
        <v>2023</v>
      </c>
      <c r="AE754" s="421">
        <v>0.21127644888053693</v>
      </c>
      <c r="AF754" s="421" t="s">
        <v>625</v>
      </c>
      <c r="AG754" s="421" t="s">
        <v>506</v>
      </c>
    </row>
    <row r="755" spans="26:33">
      <c r="Z755" s="424" t="s">
        <v>542</v>
      </c>
      <c r="AA755" s="421" t="s">
        <v>449</v>
      </c>
      <c r="AB755" s="414" t="s">
        <v>529</v>
      </c>
      <c r="AC755" s="421" t="str">
        <f t="shared" si="11"/>
        <v>CzechiaCar - Petrol</v>
      </c>
      <c r="AD755" s="421">
        <v>2023</v>
      </c>
      <c r="AE755" s="421">
        <v>0.2094185342281879</v>
      </c>
      <c r="AF755" s="421" t="s">
        <v>625</v>
      </c>
      <c r="AG755" s="421" t="s">
        <v>506</v>
      </c>
    </row>
    <row r="756" spans="26:33">
      <c r="Z756" s="424" t="s">
        <v>542</v>
      </c>
      <c r="AA756" s="421" t="s">
        <v>449</v>
      </c>
      <c r="AB756" s="414" t="s">
        <v>537</v>
      </c>
      <c r="AC756" s="421" t="str">
        <f t="shared" si="11"/>
        <v>CzechiaCar - Hybrid</v>
      </c>
      <c r="AD756" s="421">
        <v>2023</v>
      </c>
      <c r="AE756" s="421">
        <v>0.15006858791946306</v>
      </c>
      <c r="AF756" s="421" t="s">
        <v>625</v>
      </c>
      <c r="AG756" s="421" t="s">
        <v>506</v>
      </c>
    </row>
    <row r="757" spans="26:33">
      <c r="Z757" s="424" t="s">
        <v>545</v>
      </c>
      <c r="AA757" s="421" t="s">
        <v>449</v>
      </c>
      <c r="AB757" s="414" t="s">
        <v>524</v>
      </c>
      <c r="AC757" s="421" t="str">
        <f t="shared" si="11"/>
        <v>DenmarkCar - Average</v>
      </c>
      <c r="AD757" s="421">
        <v>2023</v>
      </c>
      <c r="AE757" s="421">
        <v>0.21741843624161075</v>
      </c>
      <c r="AF757" s="421" t="s">
        <v>625</v>
      </c>
      <c r="AG757" s="421" t="s">
        <v>506</v>
      </c>
    </row>
    <row r="758" spans="26:33">
      <c r="Z758" s="424" t="s">
        <v>545</v>
      </c>
      <c r="AA758" s="421" t="s">
        <v>449</v>
      </c>
      <c r="AB758" s="414" t="s">
        <v>533</v>
      </c>
      <c r="AC758" s="421" t="str">
        <f t="shared" si="11"/>
        <v>DenmarkCar - Diesel</v>
      </c>
      <c r="AD758" s="421">
        <v>2023</v>
      </c>
      <c r="AE758" s="421">
        <v>0.21127644888053693</v>
      </c>
      <c r="AF758" s="421" t="s">
        <v>625</v>
      </c>
      <c r="AG758" s="421" t="s">
        <v>506</v>
      </c>
    </row>
    <row r="759" spans="26:33">
      <c r="Z759" s="424" t="s">
        <v>545</v>
      </c>
      <c r="AA759" s="421" t="s">
        <v>449</v>
      </c>
      <c r="AB759" s="414" t="s">
        <v>529</v>
      </c>
      <c r="AC759" s="421" t="str">
        <f t="shared" si="11"/>
        <v>DenmarkCar - Petrol</v>
      </c>
      <c r="AD759" s="421">
        <v>2023</v>
      </c>
      <c r="AE759" s="421">
        <v>0.2094185342281879</v>
      </c>
      <c r="AF759" s="421" t="s">
        <v>625</v>
      </c>
      <c r="AG759" s="421" t="s">
        <v>506</v>
      </c>
    </row>
    <row r="760" spans="26:33">
      <c r="Z760" s="424" t="s">
        <v>545</v>
      </c>
      <c r="AA760" s="421" t="s">
        <v>449</v>
      </c>
      <c r="AB760" s="414" t="s">
        <v>537</v>
      </c>
      <c r="AC760" s="421" t="str">
        <f t="shared" si="11"/>
        <v>DenmarkCar - Hybrid</v>
      </c>
      <c r="AD760" s="421">
        <v>2023</v>
      </c>
      <c r="AE760" s="421">
        <v>0.15006858791946306</v>
      </c>
      <c r="AF760" s="421" t="s">
        <v>625</v>
      </c>
      <c r="AG760" s="421" t="s">
        <v>506</v>
      </c>
    </row>
    <row r="761" spans="26:33">
      <c r="Z761" s="424" t="s">
        <v>550</v>
      </c>
      <c r="AA761" s="421" t="s">
        <v>449</v>
      </c>
      <c r="AB761" s="414" t="s">
        <v>524</v>
      </c>
      <c r="AC761" s="421" t="str">
        <f t="shared" si="11"/>
        <v>EstoniaCar - Average</v>
      </c>
      <c r="AD761" s="421">
        <v>2023</v>
      </c>
      <c r="AE761" s="421">
        <v>0.21741843624161075</v>
      </c>
      <c r="AF761" s="421" t="s">
        <v>625</v>
      </c>
      <c r="AG761" s="421" t="s">
        <v>506</v>
      </c>
    </row>
    <row r="762" spans="26:33">
      <c r="Z762" s="424" t="s">
        <v>550</v>
      </c>
      <c r="AA762" s="421" t="s">
        <v>449</v>
      </c>
      <c r="AB762" s="414" t="s">
        <v>533</v>
      </c>
      <c r="AC762" s="421" t="str">
        <f t="shared" si="11"/>
        <v>EstoniaCar - Diesel</v>
      </c>
      <c r="AD762" s="421">
        <v>2023</v>
      </c>
      <c r="AE762" s="421">
        <v>0.21127644888053693</v>
      </c>
      <c r="AF762" s="421" t="s">
        <v>625</v>
      </c>
      <c r="AG762" s="421" t="s">
        <v>506</v>
      </c>
    </row>
    <row r="763" spans="26:33">
      <c r="Z763" s="424" t="s">
        <v>550</v>
      </c>
      <c r="AA763" s="421" t="s">
        <v>449</v>
      </c>
      <c r="AB763" s="414" t="s">
        <v>529</v>
      </c>
      <c r="AC763" s="421" t="str">
        <f t="shared" si="11"/>
        <v>EstoniaCar - Petrol</v>
      </c>
      <c r="AD763" s="421">
        <v>2023</v>
      </c>
      <c r="AE763" s="421">
        <v>0.2094185342281879</v>
      </c>
      <c r="AF763" s="421" t="s">
        <v>625</v>
      </c>
      <c r="AG763" s="421" t="s">
        <v>506</v>
      </c>
    </row>
    <row r="764" spans="26:33">
      <c r="Z764" s="424" t="s">
        <v>550</v>
      </c>
      <c r="AA764" s="421" t="s">
        <v>449</v>
      </c>
      <c r="AB764" s="414" t="s">
        <v>537</v>
      </c>
      <c r="AC764" s="421" t="str">
        <f t="shared" si="11"/>
        <v>EstoniaCar - Hybrid</v>
      </c>
      <c r="AD764" s="421">
        <v>2023</v>
      </c>
      <c r="AE764" s="421">
        <v>0.15006858791946306</v>
      </c>
      <c r="AF764" s="421" t="s">
        <v>625</v>
      </c>
      <c r="AG764" s="421" t="s">
        <v>506</v>
      </c>
    </row>
    <row r="765" spans="26:33">
      <c r="Z765" s="424" t="s">
        <v>627</v>
      </c>
      <c r="AA765" s="421" t="s">
        <v>449</v>
      </c>
      <c r="AB765" s="414" t="s">
        <v>524</v>
      </c>
      <c r="AC765" s="421" t="str">
        <f t="shared" si="11"/>
        <v>EU-27Car - Average</v>
      </c>
      <c r="AD765" s="421">
        <v>2023</v>
      </c>
      <c r="AE765" s="421">
        <v>0.21741843624161075</v>
      </c>
      <c r="AF765" s="421" t="s">
        <v>625</v>
      </c>
      <c r="AG765" s="421" t="s">
        <v>506</v>
      </c>
    </row>
    <row r="766" spans="26:33">
      <c r="Z766" s="424" t="s">
        <v>627</v>
      </c>
      <c r="AA766" s="421" t="s">
        <v>449</v>
      </c>
      <c r="AB766" s="414" t="s">
        <v>533</v>
      </c>
      <c r="AC766" s="421" t="str">
        <f t="shared" si="11"/>
        <v>EU-27Car - Diesel</v>
      </c>
      <c r="AD766" s="421">
        <v>2023</v>
      </c>
      <c r="AE766" s="421">
        <v>0.21127644888053693</v>
      </c>
      <c r="AF766" s="421" t="s">
        <v>625</v>
      </c>
      <c r="AG766" s="421" t="s">
        <v>506</v>
      </c>
    </row>
    <row r="767" spans="26:33">
      <c r="Z767" s="424" t="s">
        <v>627</v>
      </c>
      <c r="AA767" s="421" t="s">
        <v>449</v>
      </c>
      <c r="AB767" s="414" t="s">
        <v>529</v>
      </c>
      <c r="AC767" s="421" t="str">
        <f t="shared" si="11"/>
        <v>EU-27Car - Petrol</v>
      </c>
      <c r="AD767" s="421">
        <v>2023</v>
      </c>
      <c r="AE767" s="421">
        <v>0.2094185342281879</v>
      </c>
      <c r="AF767" s="421" t="s">
        <v>625</v>
      </c>
      <c r="AG767" s="421" t="s">
        <v>506</v>
      </c>
    </row>
    <row r="768" spans="26:33">
      <c r="Z768" s="424" t="s">
        <v>627</v>
      </c>
      <c r="AA768" s="421" t="s">
        <v>449</v>
      </c>
      <c r="AB768" s="414" t="s">
        <v>537</v>
      </c>
      <c r="AC768" s="421" t="str">
        <f t="shared" si="11"/>
        <v>EU-27Car - Hybrid</v>
      </c>
      <c r="AD768" s="421">
        <v>2023</v>
      </c>
      <c r="AE768" s="421">
        <v>0.15006858791946306</v>
      </c>
      <c r="AF768" s="421" t="s">
        <v>625</v>
      </c>
      <c r="AG768" s="421" t="s">
        <v>506</v>
      </c>
    </row>
    <row r="769" spans="26:33">
      <c r="Z769" s="424" t="s">
        <v>555</v>
      </c>
      <c r="AA769" s="421" t="s">
        <v>449</v>
      </c>
      <c r="AB769" s="414" t="s">
        <v>524</v>
      </c>
      <c r="AC769" s="421" t="str">
        <f t="shared" si="11"/>
        <v>FinlandCar - Average</v>
      </c>
      <c r="AD769" s="421">
        <v>2023</v>
      </c>
      <c r="AE769" s="421">
        <v>0.21741843624161075</v>
      </c>
      <c r="AF769" s="421" t="s">
        <v>625</v>
      </c>
      <c r="AG769" s="421" t="s">
        <v>506</v>
      </c>
    </row>
    <row r="770" spans="26:33">
      <c r="Z770" s="424" t="s">
        <v>555</v>
      </c>
      <c r="AA770" s="421" t="s">
        <v>449</v>
      </c>
      <c r="AB770" s="414" t="s">
        <v>533</v>
      </c>
      <c r="AC770" s="421" t="str">
        <f t="shared" si="11"/>
        <v>FinlandCar - Diesel</v>
      </c>
      <c r="AD770" s="421">
        <v>2023</v>
      </c>
      <c r="AE770" s="421">
        <v>0.21127644888053693</v>
      </c>
      <c r="AF770" s="421" t="s">
        <v>625</v>
      </c>
      <c r="AG770" s="421" t="s">
        <v>506</v>
      </c>
    </row>
    <row r="771" spans="26:33">
      <c r="Z771" s="424" t="s">
        <v>555</v>
      </c>
      <c r="AA771" s="421" t="s">
        <v>449</v>
      </c>
      <c r="AB771" s="414" t="s">
        <v>529</v>
      </c>
      <c r="AC771" s="421" t="str">
        <f t="shared" ref="AC771:AC834" si="12">Z771&amp;AB771</f>
        <v>FinlandCar - Petrol</v>
      </c>
      <c r="AD771" s="421">
        <v>2023</v>
      </c>
      <c r="AE771" s="421">
        <v>0.2094185342281879</v>
      </c>
      <c r="AF771" s="421" t="s">
        <v>625</v>
      </c>
      <c r="AG771" s="421" t="s">
        <v>506</v>
      </c>
    </row>
    <row r="772" spans="26:33">
      <c r="Z772" s="424" t="s">
        <v>555</v>
      </c>
      <c r="AA772" s="421" t="s">
        <v>449</v>
      </c>
      <c r="AB772" s="414" t="s">
        <v>537</v>
      </c>
      <c r="AC772" s="421" t="str">
        <f t="shared" si="12"/>
        <v>FinlandCar - Hybrid</v>
      </c>
      <c r="AD772" s="421">
        <v>2023</v>
      </c>
      <c r="AE772" s="421">
        <v>0.15006858791946306</v>
      </c>
      <c r="AF772" s="421" t="s">
        <v>625</v>
      </c>
      <c r="AG772" s="421" t="s">
        <v>506</v>
      </c>
    </row>
    <row r="773" spans="26:33">
      <c r="Z773" s="424" t="s">
        <v>560</v>
      </c>
      <c r="AA773" s="421" t="s">
        <v>449</v>
      </c>
      <c r="AB773" s="414" t="s">
        <v>524</v>
      </c>
      <c r="AC773" s="421" t="str">
        <f t="shared" si="12"/>
        <v>FranceCar - Average</v>
      </c>
      <c r="AD773" s="421">
        <v>2018</v>
      </c>
      <c r="AE773" s="421">
        <v>0.23100000000000001</v>
      </c>
      <c r="AF773" s="421" t="s">
        <v>625</v>
      </c>
      <c r="AG773" s="414" t="s">
        <v>495</v>
      </c>
    </row>
    <row r="774" spans="26:33">
      <c r="Z774" s="424" t="s">
        <v>560</v>
      </c>
      <c r="AA774" s="421" t="s">
        <v>449</v>
      </c>
      <c r="AB774" s="414" t="s">
        <v>533</v>
      </c>
      <c r="AC774" s="421" t="str">
        <f t="shared" si="12"/>
        <v>FranceCar - Diesel</v>
      </c>
      <c r="AD774" s="421">
        <v>2018</v>
      </c>
      <c r="AE774" s="421">
        <v>0.22700000000000001</v>
      </c>
      <c r="AF774" s="421" t="s">
        <v>625</v>
      </c>
      <c r="AG774" s="414" t="s">
        <v>495</v>
      </c>
    </row>
    <row r="775" spans="26:33">
      <c r="Z775" s="424" t="s">
        <v>560</v>
      </c>
      <c r="AA775" s="421" t="s">
        <v>449</v>
      </c>
      <c r="AB775" s="414" t="s">
        <v>529</v>
      </c>
      <c r="AC775" s="421" t="str">
        <f t="shared" si="12"/>
        <v>FranceCar - Petrol</v>
      </c>
      <c r="AD775" s="421">
        <v>2018</v>
      </c>
      <c r="AE775" s="421">
        <v>0.23899999999999999</v>
      </c>
      <c r="AF775" s="421" t="s">
        <v>625</v>
      </c>
      <c r="AG775" s="414" t="s">
        <v>495</v>
      </c>
    </row>
    <row r="776" spans="26:33">
      <c r="Z776" s="424" t="s">
        <v>560</v>
      </c>
      <c r="AA776" s="421" t="s">
        <v>449</v>
      </c>
      <c r="AB776" s="414" t="s">
        <v>537</v>
      </c>
      <c r="AC776" s="421" t="str">
        <f t="shared" si="12"/>
        <v>FranceCar - Hybrid</v>
      </c>
      <c r="AD776" s="421">
        <v>2018</v>
      </c>
      <c r="AE776" s="421">
        <v>0.183</v>
      </c>
      <c r="AF776" s="421" t="s">
        <v>625</v>
      </c>
      <c r="AG776" s="414" t="s">
        <v>495</v>
      </c>
    </row>
    <row r="777" spans="26:33">
      <c r="Z777" s="424" t="s">
        <v>565</v>
      </c>
      <c r="AA777" s="421" t="s">
        <v>449</v>
      </c>
      <c r="AB777" s="414" t="s">
        <v>524</v>
      </c>
      <c r="AC777" s="421" t="str">
        <f t="shared" si="12"/>
        <v>GermanyCar - Average</v>
      </c>
      <c r="AD777" s="421">
        <v>2023</v>
      </c>
      <c r="AE777" s="421">
        <v>0.21741843624161075</v>
      </c>
      <c r="AF777" s="421" t="s">
        <v>625</v>
      </c>
      <c r="AG777" s="421" t="s">
        <v>506</v>
      </c>
    </row>
    <row r="778" spans="26:33">
      <c r="Z778" s="424" t="s">
        <v>565</v>
      </c>
      <c r="AA778" s="421" t="s">
        <v>449</v>
      </c>
      <c r="AB778" s="414" t="s">
        <v>533</v>
      </c>
      <c r="AC778" s="421" t="str">
        <f t="shared" si="12"/>
        <v>GermanyCar - Diesel</v>
      </c>
      <c r="AD778" s="421">
        <v>2023</v>
      </c>
      <c r="AE778" s="421">
        <v>0.21820000000000001</v>
      </c>
      <c r="AF778" s="421" t="s">
        <v>625</v>
      </c>
      <c r="AG778" s="421" t="s">
        <v>624</v>
      </c>
    </row>
    <row r="779" spans="26:33">
      <c r="Z779" s="424" t="s">
        <v>565</v>
      </c>
      <c r="AA779" s="421" t="s">
        <v>449</v>
      </c>
      <c r="AB779" s="414" t="s">
        <v>529</v>
      </c>
      <c r="AC779" s="421" t="str">
        <f t="shared" si="12"/>
        <v>GermanyCar - Petrol</v>
      </c>
      <c r="AD779" s="421">
        <v>2023</v>
      </c>
      <c r="AE779" s="421">
        <v>0.2278</v>
      </c>
      <c r="AF779" s="421" t="s">
        <v>625</v>
      </c>
      <c r="AG779" s="421" t="s">
        <v>624</v>
      </c>
    </row>
    <row r="780" spans="26:33">
      <c r="Z780" s="424" t="s">
        <v>565</v>
      </c>
      <c r="AA780" s="421" t="s">
        <v>449</v>
      </c>
      <c r="AB780" s="414" t="s">
        <v>537</v>
      </c>
      <c r="AC780" s="421" t="str">
        <f t="shared" si="12"/>
        <v>GermanyCar - Hybrid</v>
      </c>
      <c r="AD780" s="421">
        <v>2023</v>
      </c>
      <c r="AE780" s="421">
        <v>0.15006858791946306</v>
      </c>
      <c r="AF780" s="421" t="s">
        <v>625</v>
      </c>
      <c r="AG780" s="421" t="s">
        <v>506</v>
      </c>
    </row>
    <row r="781" spans="26:33">
      <c r="Z781" s="424" t="s">
        <v>570</v>
      </c>
      <c r="AA781" s="421" t="s">
        <v>449</v>
      </c>
      <c r="AB781" s="414" t="s">
        <v>524</v>
      </c>
      <c r="AC781" s="421" t="str">
        <f t="shared" si="12"/>
        <v>GreeceCar - Average</v>
      </c>
      <c r="AD781" s="421">
        <v>2023</v>
      </c>
      <c r="AE781" s="421">
        <v>0.21741843624161075</v>
      </c>
      <c r="AF781" s="421" t="s">
        <v>625</v>
      </c>
      <c r="AG781" s="421" t="s">
        <v>506</v>
      </c>
    </row>
    <row r="782" spans="26:33">
      <c r="Z782" s="424" t="s">
        <v>570</v>
      </c>
      <c r="AA782" s="421" t="s">
        <v>449</v>
      </c>
      <c r="AB782" s="414" t="s">
        <v>529</v>
      </c>
      <c r="AC782" s="421" t="str">
        <f t="shared" si="12"/>
        <v>GreeceCar - Petrol</v>
      </c>
      <c r="AD782" s="421">
        <v>2023</v>
      </c>
      <c r="AE782" s="421">
        <v>0.21127644888053693</v>
      </c>
      <c r="AF782" s="421" t="s">
        <v>625</v>
      </c>
      <c r="AG782" s="421" t="s">
        <v>506</v>
      </c>
    </row>
    <row r="783" spans="26:33">
      <c r="Z783" s="424" t="s">
        <v>570</v>
      </c>
      <c r="AA783" s="421" t="s">
        <v>449</v>
      </c>
      <c r="AB783" s="414" t="s">
        <v>533</v>
      </c>
      <c r="AC783" s="421" t="str">
        <f t="shared" si="12"/>
        <v>GreeceCar - Diesel</v>
      </c>
      <c r="AD783" s="421">
        <v>2023</v>
      </c>
      <c r="AE783" s="421">
        <v>0.2094185342281879</v>
      </c>
      <c r="AF783" s="421" t="s">
        <v>625</v>
      </c>
      <c r="AG783" s="421" t="s">
        <v>506</v>
      </c>
    </row>
    <row r="784" spans="26:33">
      <c r="Z784" s="424" t="s">
        <v>570</v>
      </c>
      <c r="AA784" s="421" t="s">
        <v>449</v>
      </c>
      <c r="AB784" s="414" t="s">
        <v>537</v>
      </c>
      <c r="AC784" s="421" t="str">
        <f t="shared" si="12"/>
        <v>GreeceCar - Hybrid</v>
      </c>
      <c r="AD784" s="421">
        <v>2023</v>
      </c>
      <c r="AE784" s="421">
        <v>0.15006858791946306</v>
      </c>
      <c r="AF784" s="421" t="s">
        <v>625</v>
      </c>
      <c r="AG784" s="421" t="s">
        <v>506</v>
      </c>
    </row>
    <row r="785" spans="26:33">
      <c r="Z785" s="424" t="s">
        <v>575</v>
      </c>
      <c r="AA785" s="421" t="s">
        <v>449</v>
      </c>
      <c r="AB785" s="414" t="s">
        <v>524</v>
      </c>
      <c r="AC785" s="421" t="str">
        <f t="shared" si="12"/>
        <v>HungaryCar - Average</v>
      </c>
      <c r="AD785" s="421">
        <v>2023</v>
      </c>
      <c r="AE785" s="421">
        <v>0.21741843624161075</v>
      </c>
      <c r="AF785" s="421" t="s">
        <v>625</v>
      </c>
      <c r="AG785" s="421" t="s">
        <v>506</v>
      </c>
    </row>
    <row r="786" spans="26:33">
      <c r="Z786" s="424" t="s">
        <v>575</v>
      </c>
      <c r="AA786" s="421" t="s">
        <v>449</v>
      </c>
      <c r="AB786" s="414" t="s">
        <v>533</v>
      </c>
      <c r="AC786" s="421" t="str">
        <f t="shared" si="12"/>
        <v>HungaryCar - Diesel</v>
      </c>
      <c r="AD786" s="421">
        <v>2023</v>
      </c>
      <c r="AE786" s="421">
        <v>0.21127644888053693</v>
      </c>
      <c r="AF786" s="421" t="s">
        <v>625</v>
      </c>
      <c r="AG786" s="421" t="s">
        <v>506</v>
      </c>
    </row>
    <row r="787" spans="26:33">
      <c r="Z787" s="424" t="s">
        <v>575</v>
      </c>
      <c r="AA787" s="421" t="s">
        <v>449</v>
      </c>
      <c r="AB787" s="414" t="s">
        <v>529</v>
      </c>
      <c r="AC787" s="421" t="str">
        <f t="shared" si="12"/>
        <v>HungaryCar - Petrol</v>
      </c>
      <c r="AD787" s="421">
        <v>2023</v>
      </c>
      <c r="AE787" s="421">
        <v>0.2094185342281879</v>
      </c>
      <c r="AF787" s="421" t="s">
        <v>625</v>
      </c>
      <c r="AG787" s="421" t="s">
        <v>506</v>
      </c>
    </row>
    <row r="788" spans="26:33">
      <c r="Z788" s="424" t="s">
        <v>575</v>
      </c>
      <c r="AA788" s="421" t="s">
        <v>449</v>
      </c>
      <c r="AB788" s="414" t="s">
        <v>537</v>
      </c>
      <c r="AC788" s="421" t="str">
        <f t="shared" si="12"/>
        <v>HungaryCar - Hybrid</v>
      </c>
      <c r="AD788" s="421">
        <v>2023</v>
      </c>
      <c r="AE788" s="421">
        <v>0.15006858791946306</v>
      </c>
      <c r="AF788" s="421" t="s">
        <v>625</v>
      </c>
      <c r="AG788" s="421" t="s">
        <v>506</v>
      </c>
    </row>
    <row r="789" spans="26:33">
      <c r="Z789" s="424" t="s">
        <v>579</v>
      </c>
      <c r="AA789" s="421" t="s">
        <v>449</v>
      </c>
      <c r="AB789" s="414" t="s">
        <v>524</v>
      </c>
      <c r="AC789" s="421" t="str">
        <f t="shared" si="12"/>
        <v>IcelandCar - Average</v>
      </c>
      <c r="AD789" s="421">
        <v>2023</v>
      </c>
      <c r="AE789" s="421">
        <v>0.21741843624161075</v>
      </c>
      <c r="AF789" s="421" t="s">
        <v>625</v>
      </c>
      <c r="AG789" s="421" t="s">
        <v>506</v>
      </c>
    </row>
    <row r="790" spans="26:33">
      <c r="Z790" s="424" t="s">
        <v>579</v>
      </c>
      <c r="AA790" s="421" t="s">
        <v>449</v>
      </c>
      <c r="AB790" s="414" t="s">
        <v>533</v>
      </c>
      <c r="AC790" s="421" t="str">
        <f t="shared" si="12"/>
        <v>IcelandCar - Diesel</v>
      </c>
      <c r="AD790" s="421">
        <v>2023</v>
      </c>
      <c r="AE790" s="421">
        <v>0.21127644888053693</v>
      </c>
      <c r="AF790" s="421" t="s">
        <v>625</v>
      </c>
      <c r="AG790" s="421" t="s">
        <v>506</v>
      </c>
    </row>
    <row r="791" spans="26:33">
      <c r="Z791" s="424" t="s">
        <v>579</v>
      </c>
      <c r="AA791" s="421" t="s">
        <v>449</v>
      </c>
      <c r="AB791" s="414" t="s">
        <v>529</v>
      </c>
      <c r="AC791" s="421" t="str">
        <f t="shared" si="12"/>
        <v>IcelandCar - Petrol</v>
      </c>
      <c r="AD791" s="421">
        <v>2023</v>
      </c>
      <c r="AE791" s="421">
        <v>0.2094185342281879</v>
      </c>
      <c r="AF791" s="421" t="s">
        <v>625</v>
      </c>
      <c r="AG791" s="421" t="s">
        <v>506</v>
      </c>
    </row>
    <row r="792" spans="26:33">
      <c r="Z792" s="424" t="s">
        <v>579</v>
      </c>
      <c r="AA792" s="421" t="s">
        <v>449</v>
      </c>
      <c r="AB792" s="414" t="s">
        <v>537</v>
      </c>
      <c r="AC792" s="421" t="str">
        <f t="shared" si="12"/>
        <v>IcelandCar - Hybrid</v>
      </c>
      <c r="AD792" s="421">
        <v>2023</v>
      </c>
      <c r="AE792" s="421">
        <v>0.15006858791946306</v>
      </c>
      <c r="AF792" s="421" t="s">
        <v>625</v>
      </c>
      <c r="AG792" s="421" t="s">
        <v>506</v>
      </c>
    </row>
    <row r="793" spans="26:33">
      <c r="Z793" s="424" t="s">
        <v>583</v>
      </c>
      <c r="AA793" s="421" t="s">
        <v>449</v>
      </c>
      <c r="AB793" s="414" t="s">
        <v>524</v>
      </c>
      <c r="AC793" s="421" t="str">
        <f t="shared" si="12"/>
        <v>IrelandCar - Average</v>
      </c>
      <c r="AD793" s="421">
        <v>2023</v>
      </c>
      <c r="AE793" s="421">
        <v>0.21741843624161075</v>
      </c>
      <c r="AF793" s="421" t="s">
        <v>625</v>
      </c>
      <c r="AG793" s="421" t="s">
        <v>506</v>
      </c>
    </row>
    <row r="794" spans="26:33">
      <c r="Z794" s="424" t="s">
        <v>583</v>
      </c>
      <c r="AA794" s="421" t="s">
        <v>449</v>
      </c>
      <c r="AB794" s="414" t="s">
        <v>533</v>
      </c>
      <c r="AC794" s="421" t="str">
        <f t="shared" si="12"/>
        <v>IrelandCar - Diesel</v>
      </c>
      <c r="AD794" s="421">
        <v>2023</v>
      </c>
      <c r="AE794" s="421">
        <v>0.21127644888053693</v>
      </c>
      <c r="AF794" s="421" t="s">
        <v>625</v>
      </c>
      <c r="AG794" s="421" t="s">
        <v>506</v>
      </c>
    </row>
    <row r="795" spans="26:33">
      <c r="Z795" s="424" t="s">
        <v>583</v>
      </c>
      <c r="AA795" s="421" t="s">
        <v>449</v>
      </c>
      <c r="AB795" s="414" t="s">
        <v>529</v>
      </c>
      <c r="AC795" s="421" t="str">
        <f t="shared" si="12"/>
        <v>IrelandCar - Petrol</v>
      </c>
      <c r="AD795" s="421">
        <v>2023</v>
      </c>
      <c r="AE795" s="421">
        <v>0.2094185342281879</v>
      </c>
      <c r="AF795" s="421" t="s">
        <v>625</v>
      </c>
      <c r="AG795" s="421" t="s">
        <v>506</v>
      </c>
    </row>
    <row r="796" spans="26:33">
      <c r="Z796" s="424" t="s">
        <v>583</v>
      </c>
      <c r="AA796" s="421" t="s">
        <v>449</v>
      </c>
      <c r="AB796" s="414" t="s">
        <v>537</v>
      </c>
      <c r="AC796" s="421" t="str">
        <f t="shared" si="12"/>
        <v>IrelandCar - Hybrid</v>
      </c>
      <c r="AD796" s="421">
        <v>2023</v>
      </c>
      <c r="AE796" s="421">
        <v>0.15006858791946306</v>
      </c>
      <c r="AF796" s="421" t="s">
        <v>625</v>
      </c>
      <c r="AG796" s="421" t="s">
        <v>506</v>
      </c>
    </row>
    <row r="797" spans="26:33">
      <c r="Z797" s="424" t="s">
        <v>585</v>
      </c>
      <c r="AA797" s="421" t="s">
        <v>449</v>
      </c>
      <c r="AB797" s="414" t="s">
        <v>524</v>
      </c>
      <c r="AC797" s="421" t="str">
        <f t="shared" si="12"/>
        <v>ItalyCar - Average</v>
      </c>
      <c r="AD797" s="421">
        <v>2023</v>
      </c>
      <c r="AE797" s="421">
        <v>0.21741843624161075</v>
      </c>
      <c r="AF797" s="421" t="s">
        <v>625</v>
      </c>
      <c r="AG797" s="421" t="s">
        <v>506</v>
      </c>
    </row>
    <row r="798" spans="26:33">
      <c r="Z798" s="424" t="s">
        <v>585</v>
      </c>
      <c r="AA798" s="421" t="s">
        <v>449</v>
      </c>
      <c r="AB798" s="414" t="s">
        <v>533</v>
      </c>
      <c r="AC798" s="421" t="str">
        <f t="shared" si="12"/>
        <v>ItalyCar - Diesel</v>
      </c>
      <c r="AD798" s="421">
        <v>2023</v>
      </c>
      <c r="AE798" s="421">
        <v>0.21127644888053693</v>
      </c>
      <c r="AF798" s="421" t="s">
        <v>625</v>
      </c>
      <c r="AG798" s="421" t="s">
        <v>506</v>
      </c>
    </row>
    <row r="799" spans="26:33">
      <c r="Z799" s="424" t="s">
        <v>585</v>
      </c>
      <c r="AA799" s="421" t="s">
        <v>449</v>
      </c>
      <c r="AB799" s="414" t="s">
        <v>529</v>
      </c>
      <c r="AC799" s="421" t="str">
        <f t="shared" si="12"/>
        <v>ItalyCar - Petrol</v>
      </c>
      <c r="AD799" s="421">
        <v>2023</v>
      </c>
      <c r="AE799" s="421">
        <v>0.2094185342281879</v>
      </c>
      <c r="AF799" s="421" t="s">
        <v>625</v>
      </c>
      <c r="AG799" s="421" t="s">
        <v>506</v>
      </c>
    </row>
    <row r="800" spans="26:33">
      <c r="Z800" s="424" t="s">
        <v>585</v>
      </c>
      <c r="AA800" s="421" t="s">
        <v>449</v>
      </c>
      <c r="AB800" s="414" t="s">
        <v>537</v>
      </c>
      <c r="AC800" s="421" t="str">
        <f t="shared" si="12"/>
        <v>ItalyCar - Hybrid</v>
      </c>
      <c r="AD800" s="421">
        <v>2023</v>
      </c>
      <c r="AE800" s="421">
        <v>0.15006858791946306</v>
      </c>
      <c r="AF800" s="421" t="s">
        <v>625</v>
      </c>
      <c r="AG800" s="421" t="s">
        <v>506</v>
      </c>
    </row>
    <row r="801" spans="26:33">
      <c r="Z801" s="424" t="s">
        <v>587</v>
      </c>
      <c r="AA801" s="421" t="s">
        <v>449</v>
      </c>
      <c r="AB801" s="414" t="s">
        <v>524</v>
      </c>
      <c r="AC801" s="421" t="str">
        <f t="shared" si="12"/>
        <v>LatviaCar - Average</v>
      </c>
      <c r="AD801" s="421">
        <v>2023</v>
      </c>
      <c r="AE801" s="421">
        <v>0.21741843624161075</v>
      </c>
      <c r="AF801" s="421" t="s">
        <v>625</v>
      </c>
      <c r="AG801" s="421" t="s">
        <v>506</v>
      </c>
    </row>
    <row r="802" spans="26:33">
      <c r="Z802" s="424" t="s">
        <v>587</v>
      </c>
      <c r="AA802" s="421" t="s">
        <v>449</v>
      </c>
      <c r="AB802" s="414" t="s">
        <v>533</v>
      </c>
      <c r="AC802" s="421" t="str">
        <f t="shared" si="12"/>
        <v>LatviaCar - Diesel</v>
      </c>
      <c r="AD802" s="421">
        <v>2023</v>
      </c>
      <c r="AE802" s="421">
        <v>0.21127644888053693</v>
      </c>
      <c r="AF802" s="421" t="s">
        <v>625</v>
      </c>
      <c r="AG802" s="421" t="s">
        <v>506</v>
      </c>
    </row>
    <row r="803" spans="26:33">
      <c r="Z803" s="424" t="s">
        <v>587</v>
      </c>
      <c r="AA803" s="421" t="s">
        <v>449</v>
      </c>
      <c r="AB803" s="414" t="s">
        <v>529</v>
      </c>
      <c r="AC803" s="421" t="str">
        <f t="shared" si="12"/>
        <v>LatviaCar - Petrol</v>
      </c>
      <c r="AD803" s="421">
        <v>2023</v>
      </c>
      <c r="AE803" s="421">
        <v>0.2094185342281879</v>
      </c>
      <c r="AF803" s="421" t="s">
        <v>625</v>
      </c>
      <c r="AG803" s="421" t="s">
        <v>506</v>
      </c>
    </row>
    <row r="804" spans="26:33">
      <c r="Z804" s="424" t="s">
        <v>587</v>
      </c>
      <c r="AA804" s="421" t="s">
        <v>449</v>
      </c>
      <c r="AB804" s="414" t="s">
        <v>537</v>
      </c>
      <c r="AC804" s="421" t="str">
        <f t="shared" si="12"/>
        <v>LatviaCar - Hybrid</v>
      </c>
      <c r="AD804" s="421">
        <v>2023</v>
      </c>
      <c r="AE804" s="421">
        <v>0.15006858791946306</v>
      </c>
      <c r="AF804" s="421" t="s">
        <v>625</v>
      </c>
      <c r="AG804" s="421" t="s">
        <v>506</v>
      </c>
    </row>
    <row r="805" spans="26:33">
      <c r="Z805" s="424" t="s">
        <v>589</v>
      </c>
      <c r="AA805" s="421" t="s">
        <v>449</v>
      </c>
      <c r="AB805" s="414" t="s">
        <v>524</v>
      </c>
      <c r="AC805" s="421" t="str">
        <f t="shared" si="12"/>
        <v>LiechtensteinCar - Average</v>
      </c>
      <c r="AD805" s="421">
        <v>2023</v>
      </c>
      <c r="AE805" s="421">
        <v>0.21741843624161075</v>
      </c>
      <c r="AF805" s="421" t="s">
        <v>625</v>
      </c>
      <c r="AG805" s="421" t="s">
        <v>506</v>
      </c>
    </row>
    <row r="806" spans="26:33">
      <c r="Z806" s="424" t="s">
        <v>589</v>
      </c>
      <c r="AA806" s="421" t="s">
        <v>449</v>
      </c>
      <c r="AB806" s="414" t="s">
        <v>533</v>
      </c>
      <c r="AC806" s="421" t="str">
        <f t="shared" si="12"/>
        <v>LiechtensteinCar - Diesel</v>
      </c>
      <c r="AD806" s="421">
        <v>2023</v>
      </c>
      <c r="AE806" s="421">
        <v>0.21127644888053693</v>
      </c>
      <c r="AF806" s="421" t="s">
        <v>625</v>
      </c>
      <c r="AG806" s="421" t="s">
        <v>506</v>
      </c>
    </row>
    <row r="807" spans="26:33">
      <c r="Z807" s="424" t="s">
        <v>589</v>
      </c>
      <c r="AA807" s="421" t="s">
        <v>449</v>
      </c>
      <c r="AB807" s="414" t="s">
        <v>529</v>
      </c>
      <c r="AC807" s="421" t="str">
        <f t="shared" si="12"/>
        <v>LiechtensteinCar - Petrol</v>
      </c>
      <c r="AD807" s="421">
        <v>2023</v>
      </c>
      <c r="AE807" s="421">
        <v>0.2094185342281879</v>
      </c>
      <c r="AF807" s="421" t="s">
        <v>625</v>
      </c>
      <c r="AG807" s="421" t="s">
        <v>506</v>
      </c>
    </row>
    <row r="808" spans="26:33">
      <c r="Z808" s="424" t="s">
        <v>589</v>
      </c>
      <c r="AA808" s="421" t="s">
        <v>449</v>
      </c>
      <c r="AB808" s="414" t="s">
        <v>537</v>
      </c>
      <c r="AC808" s="421" t="str">
        <f t="shared" si="12"/>
        <v>LiechtensteinCar - Hybrid</v>
      </c>
      <c r="AD808" s="421">
        <v>2023</v>
      </c>
      <c r="AE808" s="421">
        <v>0.15006858791946306</v>
      </c>
      <c r="AF808" s="421" t="s">
        <v>625</v>
      </c>
      <c r="AG808" s="421" t="s">
        <v>506</v>
      </c>
    </row>
    <row r="809" spans="26:33">
      <c r="Z809" s="424" t="s">
        <v>591</v>
      </c>
      <c r="AA809" s="421" t="s">
        <v>449</v>
      </c>
      <c r="AB809" s="414" t="s">
        <v>524</v>
      </c>
      <c r="AC809" s="421" t="str">
        <f t="shared" si="12"/>
        <v>LithuaniaCar - Average</v>
      </c>
      <c r="AD809" s="421">
        <v>2023</v>
      </c>
      <c r="AE809" s="421">
        <v>0.21741843624161075</v>
      </c>
      <c r="AF809" s="421" t="s">
        <v>625</v>
      </c>
      <c r="AG809" s="421" t="s">
        <v>506</v>
      </c>
    </row>
    <row r="810" spans="26:33">
      <c r="Z810" s="424" t="s">
        <v>591</v>
      </c>
      <c r="AA810" s="421" t="s">
        <v>449</v>
      </c>
      <c r="AB810" s="414" t="s">
        <v>533</v>
      </c>
      <c r="AC810" s="421" t="str">
        <f t="shared" si="12"/>
        <v>LithuaniaCar - Diesel</v>
      </c>
      <c r="AD810" s="421">
        <v>2023</v>
      </c>
      <c r="AE810" s="421">
        <v>0.21127644888053693</v>
      </c>
      <c r="AF810" s="421" t="s">
        <v>625</v>
      </c>
      <c r="AG810" s="421" t="s">
        <v>506</v>
      </c>
    </row>
    <row r="811" spans="26:33">
      <c r="Z811" s="424" t="s">
        <v>591</v>
      </c>
      <c r="AA811" s="421" t="s">
        <v>449</v>
      </c>
      <c r="AB811" s="414" t="s">
        <v>529</v>
      </c>
      <c r="AC811" s="421" t="str">
        <f t="shared" si="12"/>
        <v>LithuaniaCar - Petrol</v>
      </c>
      <c r="AD811" s="421">
        <v>2023</v>
      </c>
      <c r="AE811" s="421">
        <v>0.2094185342281879</v>
      </c>
      <c r="AF811" s="421" t="s">
        <v>625</v>
      </c>
      <c r="AG811" s="421" t="s">
        <v>506</v>
      </c>
    </row>
    <row r="812" spans="26:33">
      <c r="Z812" s="424" t="s">
        <v>591</v>
      </c>
      <c r="AA812" s="421" t="s">
        <v>449</v>
      </c>
      <c r="AB812" s="414" t="s">
        <v>537</v>
      </c>
      <c r="AC812" s="421" t="str">
        <f t="shared" si="12"/>
        <v>LithuaniaCar - Hybrid</v>
      </c>
      <c r="AD812" s="421">
        <v>2023</v>
      </c>
      <c r="AE812" s="421">
        <v>0.15006858791946306</v>
      </c>
      <c r="AF812" s="421" t="s">
        <v>625</v>
      </c>
      <c r="AG812" s="421" t="s">
        <v>506</v>
      </c>
    </row>
    <row r="813" spans="26:33">
      <c r="Z813" s="424" t="s">
        <v>594</v>
      </c>
      <c r="AA813" s="421" t="s">
        <v>449</v>
      </c>
      <c r="AB813" s="414" t="s">
        <v>524</v>
      </c>
      <c r="AC813" s="421" t="str">
        <f t="shared" si="12"/>
        <v>LuxembourgCar - Average</v>
      </c>
      <c r="AD813" s="421">
        <v>2023</v>
      </c>
      <c r="AE813" s="421">
        <v>0.21741843624161075</v>
      </c>
      <c r="AF813" s="421" t="s">
        <v>625</v>
      </c>
      <c r="AG813" s="421" t="s">
        <v>506</v>
      </c>
    </row>
    <row r="814" spans="26:33">
      <c r="Z814" s="424" t="s">
        <v>594</v>
      </c>
      <c r="AA814" s="421" t="s">
        <v>449</v>
      </c>
      <c r="AB814" s="414" t="s">
        <v>529</v>
      </c>
      <c r="AC814" s="421" t="str">
        <f t="shared" si="12"/>
        <v>LuxembourgCar - Petrol</v>
      </c>
      <c r="AD814" s="421">
        <v>2023</v>
      </c>
      <c r="AE814" s="421">
        <v>0.21127644888053693</v>
      </c>
      <c r="AF814" s="421" t="s">
        <v>625</v>
      </c>
      <c r="AG814" s="421" t="s">
        <v>506</v>
      </c>
    </row>
    <row r="815" spans="26:33">
      <c r="Z815" s="424" t="s">
        <v>594</v>
      </c>
      <c r="AA815" s="421" t="s">
        <v>449</v>
      </c>
      <c r="AB815" s="414" t="s">
        <v>533</v>
      </c>
      <c r="AC815" s="421" t="str">
        <f t="shared" si="12"/>
        <v>LuxembourgCar - Diesel</v>
      </c>
      <c r="AD815" s="421">
        <v>2023</v>
      </c>
      <c r="AE815" s="421">
        <v>0.2094185342281879</v>
      </c>
      <c r="AF815" s="421" t="s">
        <v>625</v>
      </c>
      <c r="AG815" s="421" t="s">
        <v>506</v>
      </c>
    </row>
    <row r="816" spans="26:33">
      <c r="Z816" s="424" t="s">
        <v>594</v>
      </c>
      <c r="AA816" s="421" t="s">
        <v>449</v>
      </c>
      <c r="AB816" s="414" t="s">
        <v>537</v>
      </c>
      <c r="AC816" s="421" t="str">
        <f t="shared" si="12"/>
        <v>LuxembourgCar - Hybrid</v>
      </c>
      <c r="AD816" s="421">
        <v>2023</v>
      </c>
      <c r="AE816" s="421">
        <v>0.15006858791946306</v>
      </c>
      <c r="AF816" s="421" t="s">
        <v>625</v>
      </c>
      <c r="AG816" s="421" t="s">
        <v>506</v>
      </c>
    </row>
    <row r="817" spans="26:33">
      <c r="Z817" s="424" t="s">
        <v>596</v>
      </c>
      <c r="AA817" s="421" t="s">
        <v>449</v>
      </c>
      <c r="AB817" s="414" t="s">
        <v>524</v>
      </c>
      <c r="AC817" s="421" t="str">
        <f t="shared" si="12"/>
        <v>MaltaCar - Average</v>
      </c>
      <c r="AD817" s="421">
        <v>2023</v>
      </c>
      <c r="AE817" s="421">
        <v>0.21741843624161075</v>
      </c>
      <c r="AF817" s="421" t="s">
        <v>625</v>
      </c>
      <c r="AG817" s="421" t="s">
        <v>506</v>
      </c>
    </row>
    <row r="818" spans="26:33">
      <c r="Z818" s="424" t="s">
        <v>596</v>
      </c>
      <c r="AA818" s="421" t="s">
        <v>449</v>
      </c>
      <c r="AB818" s="414" t="s">
        <v>533</v>
      </c>
      <c r="AC818" s="421" t="str">
        <f t="shared" si="12"/>
        <v>MaltaCar - Diesel</v>
      </c>
      <c r="AD818" s="421">
        <v>2023</v>
      </c>
      <c r="AE818" s="421">
        <v>0.21127644888053693</v>
      </c>
      <c r="AF818" s="421" t="s">
        <v>625</v>
      </c>
      <c r="AG818" s="421" t="s">
        <v>506</v>
      </c>
    </row>
    <row r="819" spans="26:33">
      <c r="Z819" s="424" t="s">
        <v>596</v>
      </c>
      <c r="AA819" s="421" t="s">
        <v>449</v>
      </c>
      <c r="AB819" s="414" t="s">
        <v>529</v>
      </c>
      <c r="AC819" s="421" t="str">
        <f t="shared" si="12"/>
        <v>MaltaCar - Petrol</v>
      </c>
      <c r="AD819" s="421">
        <v>2023</v>
      </c>
      <c r="AE819" s="421">
        <v>0.2094185342281879</v>
      </c>
      <c r="AF819" s="421" t="s">
        <v>625</v>
      </c>
      <c r="AG819" s="421" t="s">
        <v>506</v>
      </c>
    </row>
    <row r="820" spans="26:33">
      <c r="Z820" s="424" t="s">
        <v>596</v>
      </c>
      <c r="AA820" s="421" t="s">
        <v>449</v>
      </c>
      <c r="AB820" s="414" t="s">
        <v>537</v>
      </c>
      <c r="AC820" s="421" t="str">
        <f t="shared" si="12"/>
        <v>MaltaCar - Hybrid</v>
      </c>
      <c r="AD820" s="421">
        <v>2023</v>
      </c>
      <c r="AE820" s="421">
        <v>0.15006858791946306</v>
      </c>
      <c r="AF820" s="421" t="s">
        <v>625</v>
      </c>
      <c r="AG820" s="421" t="s">
        <v>506</v>
      </c>
    </row>
    <row r="821" spans="26:33">
      <c r="Z821" s="424" t="s">
        <v>598</v>
      </c>
      <c r="AA821" s="421" t="s">
        <v>449</v>
      </c>
      <c r="AB821" s="414" t="s">
        <v>524</v>
      </c>
      <c r="AC821" s="421" t="str">
        <f t="shared" si="12"/>
        <v>MoldovaCar - Average</v>
      </c>
      <c r="AD821" s="421">
        <v>2023</v>
      </c>
      <c r="AE821" s="421">
        <v>0.21741843624161075</v>
      </c>
      <c r="AF821" s="421" t="s">
        <v>625</v>
      </c>
      <c r="AG821" s="421" t="s">
        <v>506</v>
      </c>
    </row>
    <row r="822" spans="26:33">
      <c r="Z822" s="424" t="s">
        <v>598</v>
      </c>
      <c r="AA822" s="421" t="s">
        <v>449</v>
      </c>
      <c r="AB822" s="414" t="s">
        <v>533</v>
      </c>
      <c r="AC822" s="421" t="str">
        <f t="shared" si="12"/>
        <v>MoldovaCar - Diesel</v>
      </c>
      <c r="AD822" s="421">
        <v>2023</v>
      </c>
      <c r="AE822" s="421">
        <v>0.21127644888053693</v>
      </c>
      <c r="AF822" s="421" t="s">
        <v>625</v>
      </c>
      <c r="AG822" s="421" t="s">
        <v>506</v>
      </c>
    </row>
    <row r="823" spans="26:33">
      <c r="Z823" s="424" t="s">
        <v>598</v>
      </c>
      <c r="AA823" s="421" t="s">
        <v>449</v>
      </c>
      <c r="AB823" s="414" t="s">
        <v>529</v>
      </c>
      <c r="AC823" s="421" t="str">
        <f t="shared" si="12"/>
        <v>MoldovaCar - Petrol</v>
      </c>
      <c r="AD823" s="421">
        <v>2023</v>
      </c>
      <c r="AE823" s="421">
        <v>0.2094185342281879</v>
      </c>
      <c r="AF823" s="421" t="s">
        <v>625</v>
      </c>
      <c r="AG823" s="421" t="s">
        <v>506</v>
      </c>
    </row>
    <row r="824" spans="26:33">
      <c r="Z824" s="424" t="s">
        <v>598</v>
      </c>
      <c r="AA824" s="421" t="s">
        <v>449</v>
      </c>
      <c r="AB824" s="414" t="s">
        <v>537</v>
      </c>
      <c r="AC824" s="421" t="str">
        <f t="shared" si="12"/>
        <v>MoldovaCar - Hybrid</v>
      </c>
      <c r="AD824" s="421">
        <v>2023</v>
      </c>
      <c r="AE824" s="421">
        <v>0.15006858791946306</v>
      </c>
      <c r="AF824" s="421" t="s">
        <v>625</v>
      </c>
      <c r="AG824" s="421" t="s">
        <v>506</v>
      </c>
    </row>
    <row r="825" spans="26:33">
      <c r="Z825" s="424" t="s">
        <v>600</v>
      </c>
      <c r="AA825" s="421" t="s">
        <v>449</v>
      </c>
      <c r="AB825" s="414" t="s">
        <v>524</v>
      </c>
      <c r="AC825" s="421" t="str">
        <f t="shared" si="12"/>
        <v>MonacoCar - Average</v>
      </c>
      <c r="AD825" s="421">
        <v>2023</v>
      </c>
      <c r="AE825" s="421">
        <v>0.21741843624161075</v>
      </c>
      <c r="AF825" s="421" t="s">
        <v>625</v>
      </c>
      <c r="AG825" s="421" t="s">
        <v>506</v>
      </c>
    </row>
    <row r="826" spans="26:33">
      <c r="Z826" s="424" t="s">
        <v>600</v>
      </c>
      <c r="AA826" s="421" t="s">
        <v>449</v>
      </c>
      <c r="AB826" s="414" t="s">
        <v>533</v>
      </c>
      <c r="AC826" s="421" t="str">
        <f t="shared" si="12"/>
        <v>MonacoCar - Diesel</v>
      </c>
      <c r="AD826" s="421">
        <v>2023</v>
      </c>
      <c r="AE826" s="421">
        <v>0.21127644888053693</v>
      </c>
      <c r="AF826" s="421" t="s">
        <v>625</v>
      </c>
      <c r="AG826" s="421" t="s">
        <v>506</v>
      </c>
    </row>
    <row r="827" spans="26:33">
      <c r="Z827" s="424" t="s">
        <v>600</v>
      </c>
      <c r="AA827" s="421" t="s">
        <v>449</v>
      </c>
      <c r="AB827" s="414" t="s">
        <v>529</v>
      </c>
      <c r="AC827" s="421" t="str">
        <f t="shared" si="12"/>
        <v>MonacoCar - Petrol</v>
      </c>
      <c r="AD827" s="421">
        <v>2023</v>
      </c>
      <c r="AE827" s="421">
        <v>0.2094185342281879</v>
      </c>
      <c r="AF827" s="421" t="s">
        <v>625</v>
      </c>
      <c r="AG827" s="421" t="s">
        <v>506</v>
      </c>
    </row>
    <row r="828" spans="26:33">
      <c r="Z828" s="424" t="s">
        <v>600</v>
      </c>
      <c r="AA828" s="421" t="s">
        <v>449</v>
      </c>
      <c r="AB828" s="414" t="s">
        <v>537</v>
      </c>
      <c r="AC828" s="421" t="str">
        <f t="shared" si="12"/>
        <v>MonacoCar - Hybrid</v>
      </c>
      <c r="AD828" s="421">
        <v>2023</v>
      </c>
      <c r="AE828" s="421">
        <v>0.15006858791946306</v>
      </c>
      <c r="AF828" s="421" t="s">
        <v>625</v>
      </c>
      <c r="AG828" s="421" t="s">
        <v>506</v>
      </c>
    </row>
    <row r="829" spans="26:33">
      <c r="Z829" s="424" t="s">
        <v>602</v>
      </c>
      <c r="AA829" s="421" t="s">
        <v>449</v>
      </c>
      <c r="AB829" s="414" t="s">
        <v>524</v>
      </c>
      <c r="AC829" s="421" t="str">
        <f t="shared" si="12"/>
        <v>MontenegroCar - Average</v>
      </c>
      <c r="AD829" s="421">
        <v>2023</v>
      </c>
      <c r="AE829" s="421">
        <v>0.21741843624161075</v>
      </c>
      <c r="AF829" s="421" t="s">
        <v>625</v>
      </c>
      <c r="AG829" s="421" t="s">
        <v>506</v>
      </c>
    </row>
    <row r="830" spans="26:33">
      <c r="Z830" s="424" t="s">
        <v>602</v>
      </c>
      <c r="AA830" s="421" t="s">
        <v>449</v>
      </c>
      <c r="AB830" s="414" t="s">
        <v>533</v>
      </c>
      <c r="AC830" s="421" t="str">
        <f t="shared" si="12"/>
        <v>MontenegroCar - Diesel</v>
      </c>
      <c r="AD830" s="421">
        <v>2023</v>
      </c>
      <c r="AE830" s="421">
        <v>0.21127644888053693</v>
      </c>
      <c r="AF830" s="421" t="s">
        <v>625</v>
      </c>
      <c r="AG830" s="421" t="s">
        <v>506</v>
      </c>
    </row>
    <row r="831" spans="26:33">
      <c r="Z831" s="424" t="s">
        <v>602</v>
      </c>
      <c r="AA831" s="421" t="s">
        <v>449</v>
      </c>
      <c r="AB831" s="414" t="s">
        <v>529</v>
      </c>
      <c r="AC831" s="421" t="str">
        <f t="shared" si="12"/>
        <v>MontenegroCar - Petrol</v>
      </c>
      <c r="AD831" s="421">
        <v>2023</v>
      </c>
      <c r="AE831" s="421">
        <v>0.2094185342281879</v>
      </c>
      <c r="AF831" s="421" t="s">
        <v>625</v>
      </c>
      <c r="AG831" s="421" t="s">
        <v>506</v>
      </c>
    </row>
    <row r="832" spans="26:33">
      <c r="Z832" s="424" t="s">
        <v>602</v>
      </c>
      <c r="AA832" s="421" t="s">
        <v>449</v>
      </c>
      <c r="AB832" s="414" t="s">
        <v>537</v>
      </c>
      <c r="AC832" s="421" t="str">
        <f t="shared" si="12"/>
        <v>MontenegroCar - Hybrid</v>
      </c>
      <c r="AD832" s="421">
        <v>2023</v>
      </c>
      <c r="AE832" s="421">
        <v>0.15006858791946306</v>
      </c>
      <c r="AF832" s="421" t="s">
        <v>625</v>
      </c>
      <c r="AG832" s="421" t="s">
        <v>506</v>
      </c>
    </row>
    <row r="833" spans="26:33">
      <c r="Z833" s="424" t="s">
        <v>603</v>
      </c>
      <c r="AA833" s="421" t="s">
        <v>449</v>
      </c>
      <c r="AB833" s="414" t="s">
        <v>524</v>
      </c>
      <c r="AC833" s="421" t="str">
        <f t="shared" si="12"/>
        <v>NetherlandsCar - Average</v>
      </c>
      <c r="AD833" s="414">
        <v>2024</v>
      </c>
      <c r="AE833" s="421">
        <v>0.193</v>
      </c>
      <c r="AF833" s="421" t="s">
        <v>625</v>
      </c>
      <c r="AG833" s="414" t="s">
        <v>604</v>
      </c>
    </row>
    <row r="834" spans="26:33">
      <c r="Z834" s="424" t="s">
        <v>603</v>
      </c>
      <c r="AA834" s="421" t="s">
        <v>449</v>
      </c>
      <c r="AB834" s="414" t="s">
        <v>533</v>
      </c>
      <c r="AC834" s="421" t="str">
        <f t="shared" si="12"/>
        <v>NetherlandsCar - Diesel</v>
      </c>
      <c r="AD834" s="414">
        <v>2024</v>
      </c>
      <c r="AE834" s="422">
        <v>0.18</v>
      </c>
      <c r="AF834" s="421" t="s">
        <v>625</v>
      </c>
      <c r="AG834" s="414" t="s">
        <v>604</v>
      </c>
    </row>
    <row r="835" spans="26:33">
      <c r="Z835" s="424" t="s">
        <v>603</v>
      </c>
      <c r="AA835" s="421" t="s">
        <v>449</v>
      </c>
      <c r="AB835" s="414" t="s">
        <v>529</v>
      </c>
      <c r="AC835" s="421" t="str">
        <f t="shared" ref="AC835:AC898" si="13">Z835&amp;AB835</f>
        <v>NetherlandsCar - Petrol</v>
      </c>
      <c r="AD835" s="414">
        <v>2024</v>
      </c>
      <c r="AE835" s="422">
        <v>0.20399999999999999</v>
      </c>
      <c r="AF835" s="421" t="s">
        <v>625</v>
      </c>
      <c r="AG835" s="414" t="s">
        <v>604</v>
      </c>
    </row>
    <row r="836" spans="26:33">
      <c r="Z836" s="424" t="s">
        <v>603</v>
      </c>
      <c r="AA836" s="421" t="s">
        <v>449</v>
      </c>
      <c r="AB836" s="414" t="s">
        <v>537</v>
      </c>
      <c r="AC836" s="421" t="str">
        <f t="shared" si="13"/>
        <v>NetherlandsCar - Hybrid</v>
      </c>
      <c r="AD836" s="414">
        <v>2024</v>
      </c>
      <c r="AE836" s="421">
        <v>0.124</v>
      </c>
      <c r="AF836" s="421" t="s">
        <v>625</v>
      </c>
      <c r="AG836" s="414" t="s">
        <v>604</v>
      </c>
    </row>
    <row r="837" spans="26:33">
      <c r="Z837" s="424" t="s">
        <v>605</v>
      </c>
      <c r="AA837" s="421" t="s">
        <v>449</v>
      </c>
      <c r="AB837" s="414" t="s">
        <v>524</v>
      </c>
      <c r="AC837" s="421" t="str">
        <f t="shared" si="13"/>
        <v>North MacedoniaCar - Average</v>
      </c>
      <c r="AD837" s="421">
        <v>2023</v>
      </c>
      <c r="AE837" s="421">
        <v>0.21741843624161075</v>
      </c>
      <c r="AF837" s="421" t="s">
        <v>625</v>
      </c>
      <c r="AG837" s="421" t="s">
        <v>506</v>
      </c>
    </row>
    <row r="838" spans="26:33">
      <c r="Z838" s="424" t="s">
        <v>605</v>
      </c>
      <c r="AA838" s="421" t="s">
        <v>449</v>
      </c>
      <c r="AB838" s="414" t="s">
        <v>533</v>
      </c>
      <c r="AC838" s="421" t="str">
        <f t="shared" si="13"/>
        <v>North MacedoniaCar - Diesel</v>
      </c>
      <c r="AD838" s="421">
        <v>2023</v>
      </c>
      <c r="AE838" s="421">
        <v>0.21127644888053693</v>
      </c>
      <c r="AF838" s="421" t="s">
        <v>625</v>
      </c>
      <c r="AG838" s="421" t="s">
        <v>506</v>
      </c>
    </row>
    <row r="839" spans="26:33">
      <c r="Z839" s="424" t="s">
        <v>605</v>
      </c>
      <c r="AA839" s="421" t="s">
        <v>449</v>
      </c>
      <c r="AB839" s="414" t="s">
        <v>529</v>
      </c>
      <c r="AC839" s="421" t="str">
        <f t="shared" si="13"/>
        <v>North MacedoniaCar - Petrol</v>
      </c>
      <c r="AD839" s="421">
        <v>2023</v>
      </c>
      <c r="AE839" s="421">
        <v>0.2094185342281879</v>
      </c>
      <c r="AF839" s="421" t="s">
        <v>625</v>
      </c>
      <c r="AG839" s="421" t="s">
        <v>506</v>
      </c>
    </row>
    <row r="840" spans="26:33">
      <c r="Z840" s="424" t="s">
        <v>605</v>
      </c>
      <c r="AA840" s="421" t="s">
        <v>449</v>
      </c>
      <c r="AB840" s="414" t="s">
        <v>537</v>
      </c>
      <c r="AC840" s="421" t="str">
        <f t="shared" si="13"/>
        <v>North MacedoniaCar - Hybrid</v>
      </c>
      <c r="AD840" s="421">
        <v>2023</v>
      </c>
      <c r="AE840" s="421">
        <v>0.15006858791946306</v>
      </c>
      <c r="AF840" s="421" t="s">
        <v>625</v>
      </c>
      <c r="AG840" s="421" t="s">
        <v>506</v>
      </c>
    </row>
    <row r="841" spans="26:33">
      <c r="Z841" s="424" t="s">
        <v>606</v>
      </c>
      <c r="AA841" s="421" t="s">
        <v>449</v>
      </c>
      <c r="AB841" s="414" t="s">
        <v>524</v>
      </c>
      <c r="AC841" s="421" t="str">
        <f t="shared" si="13"/>
        <v>NorwayCar - Average</v>
      </c>
      <c r="AD841" s="421">
        <v>2023</v>
      </c>
      <c r="AE841" s="421">
        <v>0.21741843624161075</v>
      </c>
      <c r="AF841" s="421" t="s">
        <v>625</v>
      </c>
      <c r="AG841" s="421" t="s">
        <v>506</v>
      </c>
    </row>
    <row r="842" spans="26:33">
      <c r="Z842" s="424" t="s">
        <v>606</v>
      </c>
      <c r="AA842" s="421" t="s">
        <v>449</v>
      </c>
      <c r="AB842" s="414" t="s">
        <v>533</v>
      </c>
      <c r="AC842" s="421" t="str">
        <f t="shared" si="13"/>
        <v>NorwayCar - Diesel</v>
      </c>
      <c r="AD842" s="421">
        <v>2023</v>
      </c>
      <c r="AE842" s="421">
        <v>0.21127644888053693</v>
      </c>
      <c r="AF842" s="421" t="s">
        <v>625</v>
      </c>
      <c r="AG842" s="421" t="s">
        <v>506</v>
      </c>
    </row>
    <row r="843" spans="26:33">
      <c r="Z843" s="424" t="s">
        <v>606</v>
      </c>
      <c r="AA843" s="421" t="s">
        <v>449</v>
      </c>
      <c r="AB843" s="414" t="s">
        <v>529</v>
      </c>
      <c r="AC843" s="421" t="str">
        <f t="shared" si="13"/>
        <v>NorwayCar - Petrol</v>
      </c>
      <c r="AD843" s="421">
        <v>2023</v>
      </c>
      <c r="AE843" s="421">
        <v>0.2094185342281879</v>
      </c>
      <c r="AF843" s="421" t="s">
        <v>625</v>
      </c>
      <c r="AG843" s="421" t="s">
        <v>506</v>
      </c>
    </row>
    <row r="844" spans="26:33">
      <c r="Z844" s="424" t="s">
        <v>606</v>
      </c>
      <c r="AA844" s="421" t="s">
        <v>449</v>
      </c>
      <c r="AB844" s="414" t="s">
        <v>537</v>
      </c>
      <c r="AC844" s="421" t="str">
        <f t="shared" si="13"/>
        <v>NorwayCar - Hybrid</v>
      </c>
      <c r="AD844" s="421">
        <v>2023</v>
      </c>
      <c r="AE844" s="421">
        <v>0.15006858791946306</v>
      </c>
      <c r="AF844" s="421" t="s">
        <v>625</v>
      </c>
      <c r="AG844" s="421" t="s">
        <v>506</v>
      </c>
    </row>
    <row r="845" spans="26:33">
      <c r="Z845" s="424" t="s">
        <v>607</v>
      </c>
      <c r="AA845" s="421" t="s">
        <v>449</v>
      </c>
      <c r="AB845" s="414" t="s">
        <v>524</v>
      </c>
      <c r="AC845" s="421" t="str">
        <f t="shared" si="13"/>
        <v>PolandCar - Average</v>
      </c>
      <c r="AD845" s="421">
        <v>2023</v>
      </c>
      <c r="AE845" s="421">
        <v>0.21741843624161075</v>
      </c>
      <c r="AF845" s="421" t="s">
        <v>625</v>
      </c>
      <c r="AG845" s="421" t="s">
        <v>506</v>
      </c>
    </row>
    <row r="846" spans="26:33">
      <c r="Z846" s="424" t="s">
        <v>607</v>
      </c>
      <c r="AA846" s="421" t="s">
        <v>449</v>
      </c>
      <c r="AB846" s="414" t="s">
        <v>533</v>
      </c>
      <c r="AC846" s="421" t="str">
        <f t="shared" si="13"/>
        <v>PolandCar - Diesel</v>
      </c>
      <c r="AD846" s="421">
        <v>2023</v>
      </c>
      <c r="AE846" s="421">
        <v>0.21127644888053693</v>
      </c>
      <c r="AF846" s="421" t="s">
        <v>625</v>
      </c>
      <c r="AG846" s="421" t="s">
        <v>506</v>
      </c>
    </row>
    <row r="847" spans="26:33">
      <c r="Z847" s="424" t="s">
        <v>607</v>
      </c>
      <c r="AA847" s="421" t="s">
        <v>449</v>
      </c>
      <c r="AB847" s="414" t="s">
        <v>529</v>
      </c>
      <c r="AC847" s="421" t="str">
        <f t="shared" si="13"/>
        <v>PolandCar - Petrol</v>
      </c>
      <c r="AD847" s="421">
        <v>2023</v>
      </c>
      <c r="AE847" s="421">
        <v>0.2094185342281879</v>
      </c>
      <c r="AF847" s="421" t="s">
        <v>625</v>
      </c>
      <c r="AG847" s="421" t="s">
        <v>506</v>
      </c>
    </row>
    <row r="848" spans="26:33">
      <c r="Z848" s="424" t="s">
        <v>607</v>
      </c>
      <c r="AA848" s="421" t="s">
        <v>449</v>
      </c>
      <c r="AB848" s="414" t="s">
        <v>537</v>
      </c>
      <c r="AC848" s="421" t="str">
        <f t="shared" si="13"/>
        <v>PolandCar - Hybrid</v>
      </c>
      <c r="AD848" s="421">
        <v>2023</v>
      </c>
      <c r="AE848" s="421">
        <v>0.15006858791946306</v>
      </c>
      <c r="AF848" s="421" t="s">
        <v>625</v>
      </c>
      <c r="AG848" s="421" t="s">
        <v>506</v>
      </c>
    </row>
    <row r="849" spans="26:33">
      <c r="Z849" s="424" t="s">
        <v>608</v>
      </c>
      <c r="AA849" s="421" t="s">
        <v>449</v>
      </c>
      <c r="AB849" s="414" t="s">
        <v>524</v>
      </c>
      <c r="AC849" s="421" t="str">
        <f t="shared" si="13"/>
        <v>PortugalCar - Average</v>
      </c>
      <c r="AD849" s="421">
        <v>2023</v>
      </c>
      <c r="AE849" s="421">
        <v>0.21741843624161075</v>
      </c>
      <c r="AF849" s="421" t="s">
        <v>625</v>
      </c>
      <c r="AG849" s="421" t="s">
        <v>506</v>
      </c>
    </row>
    <row r="850" spans="26:33">
      <c r="Z850" s="424" t="s">
        <v>608</v>
      </c>
      <c r="AA850" s="421" t="s">
        <v>449</v>
      </c>
      <c r="AB850" s="414" t="s">
        <v>533</v>
      </c>
      <c r="AC850" s="421" t="str">
        <f t="shared" si="13"/>
        <v>PortugalCar - Diesel</v>
      </c>
      <c r="AD850" s="421">
        <v>2023</v>
      </c>
      <c r="AE850" s="421">
        <v>0.21127644888053693</v>
      </c>
      <c r="AF850" s="421" t="s">
        <v>625</v>
      </c>
      <c r="AG850" s="421" t="s">
        <v>506</v>
      </c>
    </row>
    <row r="851" spans="26:33">
      <c r="Z851" s="424" t="s">
        <v>608</v>
      </c>
      <c r="AA851" s="421" t="s">
        <v>449</v>
      </c>
      <c r="AB851" s="414" t="s">
        <v>529</v>
      </c>
      <c r="AC851" s="421" t="str">
        <f t="shared" si="13"/>
        <v>PortugalCar - Petrol</v>
      </c>
      <c r="AD851" s="421">
        <v>2023</v>
      </c>
      <c r="AE851" s="421">
        <v>0.2094185342281879</v>
      </c>
      <c r="AF851" s="421" t="s">
        <v>625</v>
      </c>
      <c r="AG851" s="421" t="s">
        <v>506</v>
      </c>
    </row>
    <row r="852" spans="26:33">
      <c r="Z852" s="424" t="s">
        <v>608</v>
      </c>
      <c r="AA852" s="421" t="s">
        <v>449</v>
      </c>
      <c r="AB852" s="414" t="s">
        <v>537</v>
      </c>
      <c r="AC852" s="421" t="str">
        <f t="shared" si="13"/>
        <v>PortugalCar - Hybrid</v>
      </c>
      <c r="AD852" s="421">
        <v>2023</v>
      </c>
      <c r="AE852" s="421">
        <v>0.15006858791946306</v>
      </c>
      <c r="AF852" s="421" t="s">
        <v>625</v>
      </c>
      <c r="AG852" s="421" t="s">
        <v>506</v>
      </c>
    </row>
    <row r="853" spans="26:33">
      <c r="Z853" s="424" t="s">
        <v>609</v>
      </c>
      <c r="AA853" s="421" t="s">
        <v>449</v>
      </c>
      <c r="AB853" s="414" t="s">
        <v>524</v>
      </c>
      <c r="AC853" s="421" t="str">
        <f t="shared" si="13"/>
        <v>RomaniaCar - Average</v>
      </c>
      <c r="AD853" s="421">
        <v>2023</v>
      </c>
      <c r="AE853" s="421">
        <v>0.21741843624161075</v>
      </c>
      <c r="AF853" s="421" t="s">
        <v>625</v>
      </c>
      <c r="AG853" s="421" t="s">
        <v>506</v>
      </c>
    </row>
    <row r="854" spans="26:33">
      <c r="Z854" s="424" t="s">
        <v>609</v>
      </c>
      <c r="AA854" s="421" t="s">
        <v>449</v>
      </c>
      <c r="AB854" s="414" t="s">
        <v>533</v>
      </c>
      <c r="AC854" s="421" t="str">
        <f t="shared" si="13"/>
        <v>RomaniaCar - Diesel</v>
      </c>
      <c r="AD854" s="421">
        <v>2023</v>
      </c>
      <c r="AE854" s="421">
        <v>0.21127644888053693</v>
      </c>
      <c r="AF854" s="421" t="s">
        <v>625</v>
      </c>
      <c r="AG854" s="421" t="s">
        <v>506</v>
      </c>
    </row>
    <row r="855" spans="26:33">
      <c r="Z855" s="424" t="s">
        <v>609</v>
      </c>
      <c r="AA855" s="421" t="s">
        <v>449</v>
      </c>
      <c r="AB855" s="414" t="s">
        <v>529</v>
      </c>
      <c r="AC855" s="421" t="str">
        <f t="shared" si="13"/>
        <v>RomaniaCar - Petrol</v>
      </c>
      <c r="AD855" s="421">
        <v>2023</v>
      </c>
      <c r="AE855" s="421">
        <v>0.2094185342281879</v>
      </c>
      <c r="AF855" s="421" t="s">
        <v>625</v>
      </c>
      <c r="AG855" s="421" t="s">
        <v>506</v>
      </c>
    </row>
    <row r="856" spans="26:33">
      <c r="Z856" s="424" t="s">
        <v>609</v>
      </c>
      <c r="AA856" s="421" t="s">
        <v>449</v>
      </c>
      <c r="AB856" s="414" t="s">
        <v>537</v>
      </c>
      <c r="AC856" s="421" t="str">
        <f t="shared" si="13"/>
        <v>RomaniaCar - Hybrid</v>
      </c>
      <c r="AD856" s="421">
        <v>2023</v>
      </c>
      <c r="AE856" s="421">
        <v>0.15006858791946306</v>
      </c>
      <c r="AF856" s="421" t="s">
        <v>625</v>
      </c>
      <c r="AG856" s="421" t="s">
        <v>506</v>
      </c>
    </row>
    <row r="857" spans="26:33">
      <c r="Z857" s="424" t="s">
        <v>610</v>
      </c>
      <c r="AA857" s="421" t="s">
        <v>449</v>
      </c>
      <c r="AB857" s="414" t="s">
        <v>524</v>
      </c>
      <c r="AC857" s="421" t="str">
        <f t="shared" si="13"/>
        <v>San MarinoCar - Average</v>
      </c>
      <c r="AD857" s="421">
        <v>2023</v>
      </c>
      <c r="AE857" s="421">
        <v>0.21741843624161075</v>
      </c>
      <c r="AF857" s="421" t="s">
        <v>625</v>
      </c>
      <c r="AG857" s="421" t="s">
        <v>506</v>
      </c>
    </row>
    <row r="858" spans="26:33">
      <c r="Z858" s="424" t="s">
        <v>610</v>
      </c>
      <c r="AA858" s="421" t="s">
        <v>449</v>
      </c>
      <c r="AB858" s="414" t="s">
        <v>533</v>
      </c>
      <c r="AC858" s="421" t="str">
        <f t="shared" si="13"/>
        <v>San MarinoCar - Diesel</v>
      </c>
      <c r="AD858" s="421">
        <v>2023</v>
      </c>
      <c r="AE858" s="421">
        <v>0.21127644888053693</v>
      </c>
      <c r="AF858" s="421" t="s">
        <v>625</v>
      </c>
      <c r="AG858" s="421" t="s">
        <v>506</v>
      </c>
    </row>
    <row r="859" spans="26:33">
      <c r="Z859" s="424" t="s">
        <v>610</v>
      </c>
      <c r="AA859" s="421" t="s">
        <v>449</v>
      </c>
      <c r="AB859" s="414" t="s">
        <v>529</v>
      </c>
      <c r="AC859" s="421" t="str">
        <f t="shared" si="13"/>
        <v>San MarinoCar - Petrol</v>
      </c>
      <c r="AD859" s="421">
        <v>2023</v>
      </c>
      <c r="AE859" s="421">
        <v>0.2094185342281879</v>
      </c>
      <c r="AF859" s="421" t="s">
        <v>625</v>
      </c>
      <c r="AG859" s="421" t="s">
        <v>506</v>
      </c>
    </row>
    <row r="860" spans="26:33">
      <c r="Z860" s="424" t="s">
        <v>610</v>
      </c>
      <c r="AA860" s="421" t="s">
        <v>449</v>
      </c>
      <c r="AB860" s="414" t="s">
        <v>537</v>
      </c>
      <c r="AC860" s="421" t="str">
        <f t="shared" si="13"/>
        <v>San MarinoCar - Hybrid</v>
      </c>
      <c r="AD860" s="421">
        <v>2023</v>
      </c>
      <c r="AE860" s="421">
        <v>0.15006858791946306</v>
      </c>
      <c r="AF860" s="421" t="s">
        <v>625</v>
      </c>
      <c r="AG860" s="421" t="s">
        <v>506</v>
      </c>
    </row>
    <row r="861" spans="26:33">
      <c r="Z861" s="424" t="s">
        <v>611</v>
      </c>
      <c r="AA861" s="421" t="s">
        <v>449</v>
      </c>
      <c r="AB861" s="414" t="s">
        <v>524</v>
      </c>
      <c r="AC861" s="421" t="str">
        <f t="shared" si="13"/>
        <v>SerbiaCar - Average</v>
      </c>
      <c r="AD861" s="421">
        <v>2023</v>
      </c>
      <c r="AE861" s="421">
        <v>0.21741843624161075</v>
      </c>
      <c r="AF861" s="421" t="s">
        <v>625</v>
      </c>
      <c r="AG861" s="421" t="s">
        <v>506</v>
      </c>
    </row>
    <row r="862" spans="26:33">
      <c r="Z862" s="424" t="s">
        <v>611</v>
      </c>
      <c r="AA862" s="421" t="s">
        <v>449</v>
      </c>
      <c r="AB862" s="414" t="s">
        <v>533</v>
      </c>
      <c r="AC862" s="421" t="str">
        <f t="shared" si="13"/>
        <v>SerbiaCar - Diesel</v>
      </c>
      <c r="AD862" s="421">
        <v>2023</v>
      </c>
      <c r="AE862" s="421">
        <v>0.21127644888053693</v>
      </c>
      <c r="AF862" s="421" t="s">
        <v>625</v>
      </c>
      <c r="AG862" s="421" t="s">
        <v>506</v>
      </c>
    </row>
    <row r="863" spans="26:33">
      <c r="Z863" s="424" t="s">
        <v>611</v>
      </c>
      <c r="AA863" s="421" t="s">
        <v>449</v>
      </c>
      <c r="AB863" s="414" t="s">
        <v>529</v>
      </c>
      <c r="AC863" s="421" t="str">
        <f t="shared" si="13"/>
        <v>SerbiaCar - Petrol</v>
      </c>
      <c r="AD863" s="421">
        <v>2023</v>
      </c>
      <c r="AE863" s="421">
        <v>0.2094185342281879</v>
      </c>
      <c r="AF863" s="421" t="s">
        <v>625</v>
      </c>
      <c r="AG863" s="421" t="s">
        <v>506</v>
      </c>
    </row>
    <row r="864" spans="26:33">
      <c r="Z864" s="424" t="s">
        <v>611</v>
      </c>
      <c r="AA864" s="421" t="s">
        <v>449</v>
      </c>
      <c r="AB864" s="414" t="s">
        <v>537</v>
      </c>
      <c r="AC864" s="421" t="str">
        <f t="shared" si="13"/>
        <v>SerbiaCar - Hybrid</v>
      </c>
      <c r="AD864" s="421">
        <v>2023</v>
      </c>
      <c r="AE864" s="421">
        <v>0.15006858791946306</v>
      </c>
      <c r="AF864" s="421" t="s">
        <v>625</v>
      </c>
      <c r="AG864" s="421" t="s">
        <v>506</v>
      </c>
    </row>
    <row r="865" spans="26:33">
      <c r="Z865" s="424" t="s">
        <v>612</v>
      </c>
      <c r="AA865" s="421" t="s">
        <v>449</v>
      </c>
      <c r="AB865" s="414" t="s">
        <v>524</v>
      </c>
      <c r="AC865" s="421" t="str">
        <f t="shared" si="13"/>
        <v>SlovakiaCar - Average</v>
      </c>
      <c r="AD865" s="421">
        <v>2023</v>
      </c>
      <c r="AE865" s="421">
        <v>0.21741843624161075</v>
      </c>
      <c r="AF865" s="421" t="s">
        <v>625</v>
      </c>
      <c r="AG865" s="421" t="s">
        <v>506</v>
      </c>
    </row>
    <row r="866" spans="26:33">
      <c r="Z866" s="424" t="s">
        <v>612</v>
      </c>
      <c r="AA866" s="421" t="s">
        <v>449</v>
      </c>
      <c r="AB866" s="414" t="s">
        <v>533</v>
      </c>
      <c r="AC866" s="421" t="str">
        <f t="shared" si="13"/>
        <v>SlovakiaCar - Diesel</v>
      </c>
      <c r="AD866" s="421">
        <v>2023</v>
      </c>
      <c r="AE866" s="421">
        <v>0.21127644888053693</v>
      </c>
      <c r="AF866" s="421" t="s">
        <v>625</v>
      </c>
      <c r="AG866" s="421" t="s">
        <v>506</v>
      </c>
    </row>
    <row r="867" spans="26:33">
      <c r="Z867" s="424" t="s">
        <v>612</v>
      </c>
      <c r="AA867" s="421" t="s">
        <v>449</v>
      </c>
      <c r="AB867" s="414" t="s">
        <v>529</v>
      </c>
      <c r="AC867" s="421" t="str">
        <f t="shared" si="13"/>
        <v>SlovakiaCar - Petrol</v>
      </c>
      <c r="AD867" s="421">
        <v>2023</v>
      </c>
      <c r="AE867" s="421">
        <v>0.2094185342281879</v>
      </c>
      <c r="AF867" s="421" t="s">
        <v>625</v>
      </c>
      <c r="AG867" s="421" t="s">
        <v>506</v>
      </c>
    </row>
    <row r="868" spans="26:33">
      <c r="Z868" s="424" t="s">
        <v>612</v>
      </c>
      <c r="AA868" s="421" t="s">
        <v>449</v>
      </c>
      <c r="AB868" s="414" t="s">
        <v>537</v>
      </c>
      <c r="AC868" s="421" t="str">
        <f t="shared" si="13"/>
        <v>SlovakiaCar - Hybrid</v>
      </c>
      <c r="AD868" s="421">
        <v>2023</v>
      </c>
      <c r="AE868" s="421">
        <v>0.15006858791946306</v>
      </c>
      <c r="AF868" s="421" t="s">
        <v>625</v>
      </c>
      <c r="AG868" s="421" t="s">
        <v>506</v>
      </c>
    </row>
    <row r="869" spans="26:33">
      <c r="Z869" s="424" t="s">
        <v>613</v>
      </c>
      <c r="AA869" s="421" t="s">
        <v>449</v>
      </c>
      <c r="AB869" s="414" t="s">
        <v>524</v>
      </c>
      <c r="AC869" s="421" t="str">
        <f t="shared" si="13"/>
        <v>SloveniaCar - Average</v>
      </c>
      <c r="AD869" s="421">
        <v>2023</v>
      </c>
      <c r="AE869" s="421">
        <v>0.21741843624161075</v>
      </c>
      <c r="AF869" s="421" t="s">
        <v>625</v>
      </c>
      <c r="AG869" s="421" t="s">
        <v>506</v>
      </c>
    </row>
    <row r="870" spans="26:33">
      <c r="Z870" s="424" t="s">
        <v>613</v>
      </c>
      <c r="AA870" s="421" t="s">
        <v>449</v>
      </c>
      <c r="AB870" s="414" t="s">
        <v>533</v>
      </c>
      <c r="AC870" s="421" t="str">
        <f t="shared" si="13"/>
        <v>SloveniaCar - Diesel</v>
      </c>
      <c r="AD870" s="421">
        <v>2023</v>
      </c>
      <c r="AE870" s="421">
        <v>0.21127644888053693</v>
      </c>
      <c r="AF870" s="421" t="s">
        <v>625</v>
      </c>
      <c r="AG870" s="421" t="s">
        <v>506</v>
      </c>
    </row>
    <row r="871" spans="26:33">
      <c r="Z871" s="424" t="s">
        <v>613</v>
      </c>
      <c r="AA871" s="421" t="s">
        <v>449</v>
      </c>
      <c r="AB871" s="414" t="s">
        <v>529</v>
      </c>
      <c r="AC871" s="421" t="str">
        <f t="shared" si="13"/>
        <v>SloveniaCar - Petrol</v>
      </c>
      <c r="AD871" s="421">
        <v>2023</v>
      </c>
      <c r="AE871" s="421">
        <v>0.2094185342281879</v>
      </c>
      <c r="AF871" s="421" t="s">
        <v>625</v>
      </c>
      <c r="AG871" s="421" t="s">
        <v>506</v>
      </c>
    </row>
    <row r="872" spans="26:33">
      <c r="Z872" s="424" t="s">
        <v>613</v>
      </c>
      <c r="AA872" s="421" t="s">
        <v>449</v>
      </c>
      <c r="AB872" s="414" t="s">
        <v>537</v>
      </c>
      <c r="AC872" s="421" t="str">
        <f t="shared" si="13"/>
        <v>SloveniaCar - Hybrid</v>
      </c>
      <c r="AD872" s="421">
        <v>2023</v>
      </c>
      <c r="AE872" s="421">
        <v>0.15006858791946306</v>
      </c>
      <c r="AF872" s="421" t="s">
        <v>625</v>
      </c>
      <c r="AG872" s="421" t="s">
        <v>506</v>
      </c>
    </row>
    <row r="873" spans="26:33">
      <c r="Z873" s="424" t="s">
        <v>614</v>
      </c>
      <c r="AA873" s="421" t="s">
        <v>449</v>
      </c>
      <c r="AB873" s="414" t="s">
        <v>524</v>
      </c>
      <c r="AC873" s="421" t="str">
        <f t="shared" si="13"/>
        <v>SpainCar - Average</v>
      </c>
      <c r="AD873" s="421">
        <v>2023</v>
      </c>
      <c r="AE873" s="421">
        <v>0.21741843624161075</v>
      </c>
      <c r="AF873" s="421" t="s">
        <v>625</v>
      </c>
      <c r="AG873" s="421" t="s">
        <v>506</v>
      </c>
    </row>
    <row r="874" spans="26:33">
      <c r="Z874" s="424" t="s">
        <v>614</v>
      </c>
      <c r="AA874" s="421" t="s">
        <v>449</v>
      </c>
      <c r="AB874" s="414" t="s">
        <v>533</v>
      </c>
      <c r="AC874" s="421" t="str">
        <f t="shared" si="13"/>
        <v>SpainCar - Diesel</v>
      </c>
      <c r="AD874" s="421">
        <v>2023</v>
      </c>
      <c r="AE874" s="421">
        <v>0.21127644888053693</v>
      </c>
      <c r="AF874" s="421" t="s">
        <v>625</v>
      </c>
      <c r="AG874" s="421" t="s">
        <v>506</v>
      </c>
    </row>
    <row r="875" spans="26:33">
      <c r="Z875" s="424" t="s">
        <v>614</v>
      </c>
      <c r="AA875" s="421" t="s">
        <v>449</v>
      </c>
      <c r="AB875" s="414" t="s">
        <v>529</v>
      </c>
      <c r="AC875" s="421" t="str">
        <f t="shared" si="13"/>
        <v>SpainCar - Petrol</v>
      </c>
      <c r="AD875" s="421">
        <v>2023</v>
      </c>
      <c r="AE875" s="421">
        <v>0.2094185342281879</v>
      </c>
      <c r="AF875" s="421" t="s">
        <v>625</v>
      </c>
      <c r="AG875" s="421" t="s">
        <v>506</v>
      </c>
    </row>
    <row r="876" spans="26:33">
      <c r="Z876" s="424" t="s">
        <v>614</v>
      </c>
      <c r="AA876" s="421" t="s">
        <v>449</v>
      </c>
      <c r="AB876" s="414" t="s">
        <v>537</v>
      </c>
      <c r="AC876" s="421" t="str">
        <f t="shared" si="13"/>
        <v>SpainCar - Hybrid</v>
      </c>
      <c r="AD876" s="421">
        <v>2023</v>
      </c>
      <c r="AE876" s="421">
        <v>0.15006858791946306</v>
      </c>
      <c r="AF876" s="421" t="s">
        <v>625</v>
      </c>
      <c r="AG876" s="421" t="s">
        <v>506</v>
      </c>
    </row>
    <row r="877" spans="26:33">
      <c r="Z877" s="424" t="s">
        <v>615</v>
      </c>
      <c r="AA877" s="421" t="s">
        <v>449</v>
      </c>
      <c r="AB877" s="414" t="s">
        <v>524</v>
      </c>
      <c r="AC877" s="421" t="str">
        <f t="shared" si="13"/>
        <v>SwedenCar - Average</v>
      </c>
      <c r="AD877" s="421">
        <v>2023</v>
      </c>
      <c r="AE877" s="421">
        <v>0.21741843624161075</v>
      </c>
      <c r="AF877" s="421" t="s">
        <v>625</v>
      </c>
      <c r="AG877" s="421" t="s">
        <v>506</v>
      </c>
    </row>
    <row r="878" spans="26:33">
      <c r="Z878" s="424" t="s">
        <v>615</v>
      </c>
      <c r="AA878" s="421" t="s">
        <v>449</v>
      </c>
      <c r="AB878" s="414" t="s">
        <v>533</v>
      </c>
      <c r="AC878" s="421" t="str">
        <f t="shared" si="13"/>
        <v>SwedenCar - Diesel</v>
      </c>
      <c r="AD878" s="421">
        <v>2023</v>
      </c>
      <c r="AE878" s="421">
        <v>0.21127644888053693</v>
      </c>
      <c r="AF878" s="421" t="s">
        <v>625</v>
      </c>
      <c r="AG878" s="421" t="s">
        <v>506</v>
      </c>
    </row>
    <row r="879" spans="26:33">
      <c r="Z879" s="424" t="s">
        <v>615</v>
      </c>
      <c r="AA879" s="421" t="s">
        <v>449</v>
      </c>
      <c r="AB879" s="414" t="s">
        <v>529</v>
      </c>
      <c r="AC879" s="421" t="str">
        <f t="shared" si="13"/>
        <v>SwedenCar - Petrol</v>
      </c>
      <c r="AD879" s="421">
        <v>2023</v>
      </c>
      <c r="AE879" s="421">
        <v>0.2094185342281879</v>
      </c>
      <c r="AF879" s="421" t="s">
        <v>625</v>
      </c>
      <c r="AG879" s="421" t="s">
        <v>506</v>
      </c>
    </row>
    <row r="880" spans="26:33">
      <c r="Z880" s="424" t="s">
        <v>615</v>
      </c>
      <c r="AA880" s="421" t="s">
        <v>449</v>
      </c>
      <c r="AB880" s="414" t="s">
        <v>537</v>
      </c>
      <c r="AC880" s="421" t="str">
        <f t="shared" si="13"/>
        <v>SwedenCar - Hybrid</v>
      </c>
      <c r="AD880" s="421">
        <v>2023</v>
      </c>
      <c r="AE880" s="421">
        <v>0.15006858791946306</v>
      </c>
      <c r="AF880" s="421" t="s">
        <v>625</v>
      </c>
      <c r="AG880" s="421" t="s">
        <v>506</v>
      </c>
    </row>
    <row r="881" spans="26:33">
      <c r="Z881" s="424" t="s">
        <v>616</v>
      </c>
      <c r="AA881" s="421" t="s">
        <v>449</v>
      </c>
      <c r="AB881" s="414" t="s">
        <v>524</v>
      </c>
      <c r="AC881" s="421" t="str">
        <f t="shared" si="13"/>
        <v>SwitzerlandCar - Average</v>
      </c>
      <c r="AD881" s="421">
        <v>2023</v>
      </c>
      <c r="AE881" s="421">
        <v>0.21741843624161075</v>
      </c>
      <c r="AF881" s="421" t="s">
        <v>625</v>
      </c>
      <c r="AG881" s="421" t="s">
        <v>506</v>
      </c>
    </row>
    <row r="882" spans="26:33">
      <c r="Z882" s="424" t="s">
        <v>616</v>
      </c>
      <c r="AA882" s="421" t="s">
        <v>449</v>
      </c>
      <c r="AB882" s="414" t="s">
        <v>533</v>
      </c>
      <c r="AC882" s="421" t="str">
        <f t="shared" si="13"/>
        <v>SwitzerlandCar - Diesel</v>
      </c>
      <c r="AD882" s="421">
        <v>2023</v>
      </c>
      <c r="AE882" s="421">
        <v>0.21127644888053693</v>
      </c>
      <c r="AF882" s="421" t="s">
        <v>625</v>
      </c>
      <c r="AG882" s="421" t="s">
        <v>506</v>
      </c>
    </row>
    <row r="883" spans="26:33">
      <c r="Z883" s="424" t="s">
        <v>616</v>
      </c>
      <c r="AA883" s="421" t="s">
        <v>449</v>
      </c>
      <c r="AB883" s="414" t="s">
        <v>529</v>
      </c>
      <c r="AC883" s="421" t="str">
        <f t="shared" si="13"/>
        <v>SwitzerlandCar - Petrol</v>
      </c>
      <c r="AD883" s="421">
        <v>2023</v>
      </c>
      <c r="AE883" s="421">
        <v>0.2094185342281879</v>
      </c>
      <c r="AF883" s="421" t="s">
        <v>625</v>
      </c>
      <c r="AG883" s="421" t="s">
        <v>506</v>
      </c>
    </row>
    <row r="884" spans="26:33">
      <c r="Z884" s="424" t="s">
        <v>616</v>
      </c>
      <c r="AA884" s="421" t="s">
        <v>449</v>
      </c>
      <c r="AB884" s="414" t="s">
        <v>537</v>
      </c>
      <c r="AC884" s="421" t="str">
        <f t="shared" si="13"/>
        <v>SwitzerlandCar - Hybrid</v>
      </c>
      <c r="AD884" s="421">
        <v>2023</v>
      </c>
      <c r="AE884" s="421">
        <v>0.15006858791946306</v>
      </c>
      <c r="AF884" s="421" t="s">
        <v>625</v>
      </c>
      <c r="AG884" s="421" t="s">
        <v>506</v>
      </c>
    </row>
    <row r="885" spans="26:33">
      <c r="Z885" s="424" t="s">
        <v>617</v>
      </c>
      <c r="AA885" s="421" t="s">
        <v>449</v>
      </c>
      <c r="AB885" s="414" t="s">
        <v>524</v>
      </c>
      <c r="AC885" s="421" t="str">
        <f t="shared" si="13"/>
        <v>UkraineCar - Average</v>
      </c>
      <c r="AD885" s="421">
        <v>2023</v>
      </c>
      <c r="AE885" s="421">
        <v>0.21741843624161075</v>
      </c>
      <c r="AF885" s="421" t="s">
        <v>625</v>
      </c>
      <c r="AG885" s="421" t="s">
        <v>506</v>
      </c>
    </row>
    <row r="886" spans="26:33">
      <c r="Z886" s="424" t="s">
        <v>617</v>
      </c>
      <c r="AA886" s="421" t="s">
        <v>449</v>
      </c>
      <c r="AB886" s="414" t="s">
        <v>533</v>
      </c>
      <c r="AC886" s="421" t="str">
        <f t="shared" si="13"/>
        <v>UkraineCar - Diesel</v>
      </c>
      <c r="AD886" s="421">
        <v>2023</v>
      </c>
      <c r="AE886" s="421">
        <v>0.21127644888053693</v>
      </c>
      <c r="AF886" s="421" t="s">
        <v>625</v>
      </c>
      <c r="AG886" s="421" t="s">
        <v>506</v>
      </c>
    </row>
    <row r="887" spans="26:33">
      <c r="Z887" s="424" t="s">
        <v>617</v>
      </c>
      <c r="AA887" s="421" t="s">
        <v>449</v>
      </c>
      <c r="AB887" s="414" t="s">
        <v>529</v>
      </c>
      <c r="AC887" s="421" t="str">
        <f t="shared" si="13"/>
        <v>UkraineCar - Petrol</v>
      </c>
      <c r="AD887" s="421">
        <v>2023</v>
      </c>
      <c r="AE887" s="421">
        <v>0.2094185342281879</v>
      </c>
      <c r="AF887" s="421" t="s">
        <v>625</v>
      </c>
      <c r="AG887" s="421" t="s">
        <v>506</v>
      </c>
    </row>
    <row r="888" spans="26:33">
      <c r="Z888" s="424" t="s">
        <v>617</v>
      </c>
      <c r="AA888" s="421" t="s">
        <v>449</v>
      </c>
      <c r="AB888" s="414" t="s">
        <v>537</v>
      </c>
      <c r="AC888" s="421" t="str">
        <f t="shared" si="13"/>
        <v>UkraineCar - Hybrid</v>
      </c>
      <c r="AD888" s="421">
        <v>2023</v>
      </c>
      <c r="AE888" s="421">
        <v>0.15006858791946306</v>
      </c>
      <c r="AF888" s="421" t="s">
        <v>625</v>
      </c>
      <c r="AG888" s="421" t="s">
        <v>506</v>
      </c>
    </row>
    <row r="889" spans="26:33">
      <c r="Z889" s="424" t="s">
        <v>618</v>
      </c>
      <c r="AA889" s="421" t="s">
        <v>449</v>
      </c>
      <c r="AB889" s="414" t="s">
        <v>524</v>
      </c>
      <c r="AC889" s="421" t="str">
        <f t="shared" si="13"/>
        <v>United KingdomCar - Average</v>
      </c>
      <c r="AD889" s="421">
        <v>2023</v>
      </c>
      <c r="AE889" s="421">
        <v>0.21741843624161075</v>
      </c>
      <c r="AF889" s="421" t="s">
        <v>625</v>
      </c>
      <c r="AG889" s="421" t="s">
        <v>506</v>
      </c>
    </row>
    <row r="890" spans="26:33">
      <c r="Z890" s="424" t="s">
        <v>618</v>
      </c>
      <c r="AA890" s="421" t="s">
        <v>449</v>
      </c>
      <c r="AB890" s="414" t="s">
        <v>533</v>
      </c>
      <c r="AC890" s="421" t="str">
        <f t="shared" si="13"/>
        <v>United KingdomCar - Diesel</v>
      </c>
      <c r="AD890" s="421">
        <v>2023</v>
      </c>
      <c r="AE890" s="421">
        <v>0.21127644888053693</v>
      </c>
      <c r="AF890" s="421" t="s">
        <v>625</v>
      </c>
      <c r="AG890" s="421" t="s">
        <v>506</v>
      </c>
    </row>
    <row r="891" spans="26:33">
      <c r="Z891" s="424" t="s">
        <v>618</v>
      </c>
      <c r="AA891" s="421" t="s">
        <v>449</v>
      </c>
      <c r="AB891" s="414" t="s">
        <v>529</v>
      </c>
      <c r="AC891" s="421" t="str">
        <f t="shared" si="13"/>
        <v>United KingdomCar - Petrol</v>
      </c>
      <c r="AD891" s="421">
        <v>2023</v>
      </c>
      <c r="AE891" s="421">
        <v>0.2094185342281879</v>
      </c>
      <c r="AF891" s="421" t="s">
        <v>625</v>
      </c>
      <c r="AG891" s="421" t="s">
        <v>506</v>
      </c>
    </row>
    <row r="892" spans="26:33">
      <c r="Z892" s="424" t="s">
        <v>618</v>
      </c>
      <c r="AA892" s="421" t="s">
        <v>449</v>
      </c>
      <c r="AB892" s="414" t="s">
        <v>537</v>
      </c>
      <c r="AC892" s="421" t="str">
        <f t="shared" si="13"/>
        <v>United KingdomCar - Hybrid</v>
      </c>
      <c r="AD892" s="421">
        <v>2023</v>
      </c>
      <c r="AE892" s="421">
        <v>0.15006858791946306</v>
      </c>
      <c r="AF892" s="421" t="s">
        <v>625</v>
      </c>
      <c r="AG892" s="421" t="s">
        <v>506</v>
      </c>
    </row>
    <row r="893" spans="26:33">
      <c r="Z893" s="424" t="s">
        <v>618</v>
      </c>
      <c r="AA893" s="421" t="s">
        <v>449</v>
      </c>
      <c r="AB893" s="414" t="s">
        <v>541</v>
      </c>
      <c r="AC893" s="421" t="str">
        <f t="shared" si="13"/>
        <v>United KingdomCar - Electric</v>
      </c>
      <c r="AD893" s="421">
        <v>2023</v>
      </c>
      <c r="AE893" s="421">
        <v>6.6946441610738247E-2</v>
      </c>
      <c r="AF893" s="421" t="s">
        <v>625</v>
      </c>
      <c r="AG893" s="421" t="s">
        <v>506</v>
      </c>
    </row>
    <row r="894" spans="26:33">
      <c r="Z894" s="424" t="s">
        <v>492</v>
      </c>
      <c r="AA894" s="421" t="s">
        <v>459</v>
      </c>
      <c r="AB894" s="414" t="s">
        <v>595</v>
      </c>
      <c r="AC894" s="421" t="str">
        <f t="shared" si="13"/>
        <v>AlbaniaVan - Average</v>
      </c>
      <c r="AD894" s="421">
        <v>2023</v>
      </c>
      <c r="AE894" s="421">
        <v>0.28694965637583891</v>
      </c>
      <c r="AF894" s="421" t="s">
        <v>619</v>
      </c>
      <c r="AG894" s="421" t="s">
        <v>506</v>
      </c>
    </row>
    <row r="895" spans="26:33">
      <c r="Z895" s="424" t="s">
        <v>492</v>
      </c>
      <c r="AA895" s="421" t="s">
        <v>459</v>
      </c>
      <c r="AB895" s="414" t="s">
        <v>597</v>
      </c>
      <c r="AC895" s="421" t="str">
        <f t="shared" si="13"/>
        <v>AlbaniaVan - Petrol</v>
      </c>
      <c r="AD895" s="421">
        <v>2023</v>
      </c>
      <c r="AE895" s="421">
        <v>0.25726453825503359</v>
      </c>
      <c r="AF895" s="421" t="s">
        <v>619</v>
      </c>
      <c r="AG895" s="421" t="s">
        <v>506</v>
      </c>
    </row>
    <row r="896" spans="26:33">
      <c r="Z896" s="424" t="s">
        <v>492</v>
      </c>
      <c r="AA896" s="421" t="s">
        <v>459</v>
      </c>
      <c r="AB896" s="414" t="s">
        <v>599</v>
      </c>
      <c r="AC896" s="421" t="str">
        <f t="shared" si="13"/>
        <v>AlbaniaVan - Diesel</v>
      </c>
      <c r="AD896" s="421">
        <v>2023</v>
      </c>
      <c r="AE896" s="421">
        <v>0.28788402684563758</v>
      </c>
      <c r="AF896" s="421" t="s">
        <v>619</v>
      </c>
      <c r="AG896" s="421" t="s">
        <v>506</v>
      </c>
    </row>
    <row r="897" spans="26:33">
      <c r="Z897" s="424" t="s">
        <v>492</v>
      </c>
      <c r="AA897" s="421" t="s">
        <v>459</v>
      </c>
      <c r="AB897" s="414" t="s">
        <v>601</v>
      </c>
      <c r="AC897" s="421" t="str">
        <f t="shared" si="13"/>
        <v>AlbaniaVan - Electric</v>
      </c>
      <c r="AD897" s="421">
        <v>2023</v>
      </c>
      <c r="AE897" s="421">
        <v>8.9785241610738253E-2</v>
      </c>
      <c r="AF897" s="421" t="s">
        <v>619</v>
      </c>
      <c r="AG897" s="421" t="s">
        <v>506</v>
      </c>
    </row>
    <row r="898" spans="26:33">
      <c r="Z898" s="424" t="s">
        <v>504</v>
      </c>
      <c r="AA898" s="421" t="s">
        <v>459</v>
      </c>
      <c r="AB898" s="414" t="s">
        <v>595</v>
      </c>
      <c r="AC898" s="421" t="str">
        <f t="shared" si="13"/>
        <v>AndorraVan - Average</v>
      </c>
      <c r="AD898" s="421">
        <v>2023</v>
      </c>
      <c r="AE898" s="421">
        <v>0.28694965637583891</v>
      </c>
      <c r="AF898" s="421" t="s">
        <v>619</v>
      </c>
      <c r="AG898" s="421" t="s">
        <v>506</v>
      </c>
    </row>
    <row r="899" spans="26:33">
      <c r="Z899" s="424" t="s">
        <v>504</v>
      </c>
      <c r="AA899" s="421" t="s">
        <v>459</v>
      </c>
      <c r="AB899" s="414" t="s">
        <v>597</v>
      </c>
      <c r="AC899" s="421" t="str">
        <f t="shared" ref="AC899:AC962" si="14">Z899&amp;AB899</f>
        <v>AndorraVan - Petrol</v>
      </c>
      <c r="AD899" s="421">
        <v>2023</v>
      </c>
      <c r="AE899" s="421">
        <v>0.25726453825503359</v>
      </c>
      <c r="AF899" s="421" t="s">
        <v>619</v>
      </c>
      <c r="AG899" s="421" t="s">
        <v>506</v>
      </c>
    </row>
    <row r="900" spans="26:33">
      <c r="Z900" s="424" t="s">
        <v>504</v>
      </c>
      <c r="AA900" s="421" t="s">
        <v>459</v>
      </c>
      <c r="AB900" s="414" t="s">
        <v>599</v>
      </c>
      <c r="AC900" s="421" t="str">
        <f t="shared" si="14"/>
        <v>AndorraVan - Diesel</v>
      </c>
      <c r="AD900" s="421">
        <v>2023</v>
      </c>
      <c r="AE900" s="421">
        <v>0.28788402684563758</v>
      </c>
      <c r="AF900" s="421" t="s">
        <v>619</v>
      </c>
      <c r="AG900" s="421" t="s">
        <v>506</v>
      </c>
    </row>
    <row r="901" spans="26:33">
      <c r="Z901" s="424" t="s">
        <v>504</v>
      </c>
      <c r="AA901" s="421" t="s">
        <v>459</v>
      </c>
      <c r="AB901" s="414" t="s">
        <v>601</v>
      </c>
      <c r="AC901" s="421" t="str">
        <f t="shared" si="14"/>
        <v>AndorraVan - Electric</v>
      </c>
      <c r="AD901" s="421">
        <v>2023</v>
      </c>
      <c r="AE901" s="421">
        <v>8.9785241610738253E-2</v>
      </c>
      <c r="AF901" s="421" t="s">
        <v>619</v>
      </c>
      <c r="AG901" s="421" t="s">
        <v>506</v>
      </c>
    </row>
    <row r="902" spans="26:33">
      <c r="Z902" s="424" t="s">
        <v>513</v>
      </c>
      <c r="AA902" s="421" t="s">
        <v>459</v>
      </c>
      <c r="AB902" s="414" t="s">
        <v>595</v>
      </c>
      <c r="AC902" s="421" t="str">
        <f t="shared" si="14"/>
        <v>AustriaVan - Average</v>
      </c>
      <c r="AD902" s="421">
        <v>2023</v>
      </c>
      <c r="AE902" s="421">
        <v>0.28694965637583891</v>
      </c>
      <c r="AF902" s="421" t="s">
        <v>619</v>
      </c>
      <c r="AG902" s="421" t="s">
        <v>506</v>
      </c>
    </row>
    <row r="903" spans="26:33">
      <c r="Z903" s="424" t="s">
        <v>513</v>
      </c>
      <c r="AA903" s="421" t="s">
        <v>459</v>
      </c>
      <c r="AB903" s="414" t="s">
        <v>597</v>
      </c>
      <c r="AC903" s="421" t="str">
        <f t="shared" si="14"/>
        <v>AustriaVan - Petrol</v>
      </c>
      <c r="AD903" s="421">
        <v>2023</v>
      </c>
      <c r="AE903" s="421">
        <v>0.25726453825503359</v>
      </c>
      <c r="AF903" s="421" t="s">
        <v>619</v>
      </c>
      <c r="AG903" s="421" t="s">
        <v>506</v>
      </c>
    </row>
    <row r="904" spans="26:33">
      <c r="Z904" s="424" t="s">
        <v>513</v>
      </c>
      <c r="AA904" s="421" t="s">
        <v>459</v>
      </c>
      <c r="AB904" s="414" t="s">
        <v>599</v>
      </c>
      <c r="AC904" s="421" t="str">
        <f t="shared" si="14"/>
        <v>AustriaVan - Diesel</v>
      </c>
      <c r="AD904" s="421">
        <v>2023</v>
      </c>
      <c r="AE904" s="421">
        <v>0.28788402684563758</v>
      </c>
      <c r="AF904" s="421" t="s">
        <v>619</v>
      </c>
      <c r="AG904" s="421" t="s">
        <v>506</v>
      </c>
    </row>
    <row r="905" spans="26:33">
      <c r="Z905" s="424" t="s">
        <v>513</v>
      </c>
      <c r="AA905" s="421" t="s">
        <v>459</v>
      </c>
      <c r="AB905" s="414" t="s">
        <v>601</v>
      </c>
      <c r="AC905" s="421" t="str">
        <f t="shared" si="14"/>
        <v>AustriaVan - Electric</v>
      </c>
      <c r="AD905" s="421">
        <v>2023</v>
      </c>
      <c r="AE905" s="421">
        <v>8.9785241610738253E-2</v>
      </c>
      <c r="AF905" s="421" t="s">
        <v>619</v>
      </c>
      <c r="AG905" s="421" t="s">
        <v>506</v>
      </c>
    </row>
    <row r="906" spans="26:33">
      <c r="Z906" s="424" t="s">
        <v>519</v>
      </c>
      <c r="AA906" s="421" t="s">
        <v>459</v>
      </c>
      <c r="AB906" s="414" t="s">
        <v>595</v>
      </c>
      <c r="AC906" s="421" t="str">
        <f t="shared" si="14"/>
        <v>BelarusVan - Average</v>
      </c>
      <c r="AD906" s="421">
        <v>2023</v>
      </c>
      <c r="AE906" s="421">
        <v>0.28694965637583891</v>
      </c>
      <c r="AF906" s="421" t="s">
        <v>619</v>
      </c>
      <c r="AG906" s="421" t="s">
        <v>506</v>
      </c>
    </row>
    <row r="907" spans="26:33">
      <c r="Z907" s="424" t="s">
        <v>519</v>
      </c>
      <c r="AA907" s="421" t="s">
        <v>459</v>
      </c>
      <c r="AB907" s="414" t="s">
        <v>597</v>
      </c>
      <c r="AC907" s="421" t="str">
        <f t="shared" si="14"/>
        <v>BelarusVan - Petrol</v>
      </c>
      <c r="AD907" s="421">
        <v>2023</v>
      </c>
      <c r="AE907" s="421">
        <v>0.25726453825503359</v>
      </c>
      <c r="AF907" s="421" t="s">
        <v>619</v>
      </c>
      <c r="AG907" s="421" t="s">
        <v>506</v>
      </c>
    </row>
    <row r="908" spans="26:33">
      <c r="Z908" s="424" t="s">
        <v>519</v>
      </c>
      <c r="AA908" s="421" t="s">
        <v>459</v>
      </c>
      <c r="AB908" s="414" t="s">
        <v>599</v>
      </c>
      <c r="AC908" s="421" t="str">
        <f t="shared" si="14"/>
        <v>BelarusVan - Diesel</v>
      </c>
      <c r="AD908" s="421">
        <v>2023</v>
      </c>
      <c r="AE908" s="421">
        <v>0.28788402684563758</v>
      </c>
      <c r="AF908" s="421" t="s">
        <v>619</v>
      </c>
      <c r="AG908" s="421" t="s">
        <v>506</v>
      </c>
    </row>
    <row r="909" spans="26:33">
      <c r="Z909" s="424" t="s">
        <v>519</v>
      </c>
      <c r="AA909" s="421" t="s">
        <v>459</v>
      </c>
      <c r="AB909" s="414" t="s">
        <v>601</v>
      </c>
      <c r="AC909" s="421" t="str">
        <f t="shared" si="14"/>
        <v>BelarusVan - Electric</v>
      </c>
      <c r="AD909" s="421">
        <v>2023</v>
      </c>
      <c r="AE909" s="421">
        <v>8.9785241610738253E-2</v>
      </c>
      <c r="AF909" s="421" t="s">
        <v>619</v>
      </c>
      <c r="AG909" s="421" t="s">
        <v>506</v>
      </c>
    </row>
    <row r="910" spans="26:33">
      <c r="Z910" s="424" t="s">
        <v>525</v>
      </c>
      <c r="AA910" s="421" t="s">
        <v>459</v>
      </c>
      <c r="AB910" s="414" t="s">
        <v>595</v>
      </c>
      <c r="AC910" s="421" t="str">
        <f t="shared" si="14"/>
        <v>BelgiumVan - Average</v>
      </c>
      <c r="AD910" s="421">
        <v>2023</v>
      </c>
      <c r="AE910" s="421">
        <v>0.28694965637583891</v>
      </c>
      <c r="AF910" s="421" t="s">
        <v>619</v>
      </c>
      <c r="AG910" s="421" t="s">
        <v>506</v>
      </c>
    </row>
    <row r="911" spans="26:33">
      <c r="Z911" s="424" t="s">
        <v>525</v>
      </c>
      <c r="AA911" s="421" t="s">
        <v>459</v>
      </c>
      <c r="AB911" s="414" t="s">
        <v>597</v>
      </c>
      <c r="AC911" s="421" t="str">
        <f t="shared" si="14"/>
        <v>BelgiumVan - Petrol</v>
      </c>
      <c r="AD911" s="421">
        <v>2023</v>
      </c>
      <c r="AE911" s="421">
        <v>0.25726453825503359</v>
      </c>
      <c r="AF911" s="421" t="s">
        <v>619</v>
      </c>
      <c r="AG911" s="421" t="s">
        <v>506</v>
      </c>
    </row>
    <row r="912" spans="26:33">
      <c r="Z912" s="424" t="s">
        <v>525</v>
      </c>
      <c r="AA912" s="421" t="s">
        <v>459</v>
      </c>
      <c r="AB912" s="414" t="s">
        <v>599</v>
      </c>
      <c r="AC912" s="421" t="str">
        <f t="shared" si="14"/>
        <v>BelgiumVan - Diesel</v>
      </c>
      <c r="AD912" s="421">
        <v>2023</v>
      </c>
      <c r="AE912" s="421">
        <v>0.28788402684563758</v>
      </c>
      <c r="AF912" s="421" t="s">
        <v>619</v>
      </c>
      <c r="AG912" s="421" t="s">
        <v>506</v>
      </c>
    </row>
    <row r="913" spans="26:33">
      <c r="Z913" s="424" t="s">
        <v>525</v>
      </c>
      <c r="AA913" s="421" t="s">
        <v>459</v>
      </c>
      <c r="AB913" s="414" t="s">
        <v>601</v>
      </c>
      <c r="AC913" s="421" t="str">
        <f t="shared" si="14"/>
        <v>BelgiumVan - Electric</v>
      </c>
      <c r="AD913" s="421">
        <v>2023</v>
      </c>
      <c r="AE913" s="421">
        <v>8.9785241610738253E-2</v>
      </c>
      <c r="AF913" s="421" t="s">
        <v>619</v>
      </c>
      <c r="AG913" s="421" t="s">
        <v>506</v>
      </c>
    </row>
    <row r="914" spans="26:33">
      <c r="Z914" s="424" t="s">
        <v>530</v>
      </c>
      <c r="AA914" s="421" t="s">
        <v>459</v>
      </c>
      <c r="AB914" s="414" t="s">
        <v>595</v>
      </c>
      <c r="AC914" s="421" t="str">
        <f t="shared" si="14"/>
        <v>Bosnia and HerzegovinaVan - Average</v>
      </c>
      <c r="AD914" s="421">
        <v>2023</v>
      </c>
      <c r="AE914" s="421">
        <v>0.28694965637583891</v>
      </c>
      <c r="AF914" s="421" t="s">
        <v>619</v>
      </c>
      <c r="AG914" s="421" t="s">
        <v>506</v>
      </c>
    </row>
    <row r="915" spans="26:33">
      <c r="Z915" s="424" t="s">
        <v>530</v>
      </c>
      <c r="AA915" s="421" t="s">
        <v>459</v>
      </c>
      <c r="AB915" s="414" t="s">
        <v>597</v>
      </c>
      <c r="AC915" s="421" t="str">
        <f t="shared" si="14"/>
        <v>Bosnia and HerzegovinaVan - Petrol</v>
      </c>
      <c r="AD915" s="421">
        <v>2023</v>
      </c>
      <c r="AE915" s="421">
        <v>0.25726453825503359</v>
      </c>
      <c r="AF915" s="421" t="s">
        <v>619</v>
      </c>
      <c r="AG915" s="421" t="s">
        <v>506</v>
      </c>
    </row>
    <row r="916" spans="26:33">
      <c r="Z916" s="424" t="s">
        <v>530</v>
      </c>
      <c r="AA916" s="421" t="s">
        <v>459</v>
      </c>
      <c r="AB916" s="414" t="s">
        <v>599</v>
      </c>
      <c r="AC916" s="421" t="str">
        <f t="shared" si="14"/>
        <v>Bosnia and HerzegovinaVan - Diesel</v>
      </c>
      <c r="AD916" s="421">
        <v>2023</v>
      </c>
      <c r="AE916" s="421">
        <v>0.28788402684563758</v>
      </c>
      <c r="AF916" s="421" t="s">
        <v>619</v>
      </c>
      <c r="AG916" s="421" t="s">
        <v>506</v>
      </c>
    </row>
    <row r="917" spans="26:33">
      <c r="Z917" s="424" t="s">
        <v>530</v>
      </c>
      <c r="AA917" s="421" t="s">
        <v>459</v>
      </c>
      <c r="AB917" s="414" t="s">
        <v>601</v>
      </c>
      <c r="AC917" s="421" t="str">
        <f t="shared" si="14"/>
        <v>Bosnia and HerzegovinaVan - Electric</v>
      </c>
      <c r="AD917" s="421">
        <v>2023</v>
      </c>
      <c r="AE917" s="421">
        <v>8.9785241610738253E-2</v>
      </c>
      <c r="AF917" s="421" t="s">
        <v>619</v>
      </c>
      <c r="AG917" s="421" t="s">
        <v>506</v>
      </c>
    </row>
    <row r="918" spans="26:33">
      <c r="Z918" s="424" t="s">
        <v>534</v>
      </c>
      <c r="AA918" s="421" t="s">
        <v>459</v>
      </c>
      <c r="AB918" s="414" t="s">
        <v>595</v>
      </c>
      <c r="AC918" s="421" t="str">
        <f t="shared" si="14"/>
        <v>BulgariaVan - Average</v>
      </c>
      <c r="AD918" s="421">
        <v>2023</v>
      </c>
      <c r="AE918" s="421">
        <v>0.28694965637583891</v>
      </c>
      <c r="AF918" s="421" t="s">
        <v>619</v>
      </c>
      <c r="AG918" s="421" t="s">
        <v>506</v>
      </c>
    </row>
    <row r="919" spans="26:33">
      <c r="Z919" s="424" t="s">
        <v>534</v>
      </c>
      <c r="AA919" s="421" t="s">
        <v>459</v>
      </c>
      <c r="AB919" s="414" t="s">
        <v>597</v>
      </c>
      <c r="AC919" s="421" t="str">
        <f t="shared" si="14"/>
        <v>BulgariaVan - Petrol</v>
      </c>
      <c r="AD919" s="421">
        <v>2023</v>
      </c>
      <c r="AE919" s="421">
        <v>0.25726453825503359</v>
      </c>
      <c r="AF919" s="421" t="s">
        <v>619</v>
      </c>
      <c r="AG919" s="421" t="s">
        <v>506</v>
      </c>
    </row>
    <row r="920" spans="26:33">
      <c r="Z920" s="424" t="s">
        <v>534</v>
      </c>
      <c r="AA920" s="421" t="s">
        <v>459</v>
      </c>
      <c r="AB920" s="414" t="s">
        <v>599</v>
      </c>
      <c r="AC920" s="421" t="str">
        <f t="shared" si="14"/>
        <v>BulgariaVan - Diesel</v>
      </c>
      <c r="AD920" s="421">
        <v>2023</v>
      </c>
      <c r="AE920" s="421">
        <v>0.28788402684563758</v>
      </c>
      <c r="AF920" s="421" t="s">
        <v>619</v>
      </c>
      <c r="AG920" s="421" t="s">
        <v>506</v>
      </c>
    </row>
    <row r="921" spans="26:33">
      <c r="Z921" s="424" t="s">
        <v>534</v>
      </c>
      <c r="AA921" s="421" t="s">
        <v>459</v>
      </c>
      <c r="AB921" s="414" t="s">
        <v>601</v>
      </c>
      <c r="AC921" s="421" t="str">
        <f t="shared" si="14"/>
        <v>BulgariaVan - Electric</v>
      </c>
      <c r="AD921" s="421">
        <v>2023</v>
      </c>
      <c r="AE921" s="421">
        <v>8.9785241610738253E-2</v>
      </c>
      <c r="AF921" s="421" t="s">
        <v>619</v>
      </c>
      <c r="AG921" s="421" t="s">
        <v>506</v>
      </c>
    </row>
    <row r="922" spans="26:33">
      <c r="Z922" s="424" t="s">
        <v>538</v>
      </c>
      <c r="AA922" s="421" t="s">
        <v>459</v>
      </c>
      <c r="AB922" s="414" t="s">
        <v>595</v>
      </c>
      <c r="AC922" s="421" t="str">
        <f t="shared" si="14"/>
        <v>CroatiaVan - Average</v>
      </c>
      <c r="AD922" s="421">
        <v>2023</v>
      </c>
      <c r="AE922" s="421">
        <v>0.28694965637583891</v>
      </c>
      <c r="AF922" s="421" t="s">
        <v>619</v>
      </c>
      <c r="AG922" s="421" t="s">
        <v>506</v>
      </c>
    </row>
    <row r="923" spans="26:33">
      <c r="Z923" s="424" t="s">
        <v>538</v>
      </c>
      <c r="AA923" s="421" t="s">
        <v>459</v>
      </c>
      <c r="AB923" s="414" t="s">
        <v>597</v>
      </c>
      <c r="AC923" s="421" t="str">
        <f t="shared" si="14"/>
        <v>CroatiaVan - Petrol</v>
      </c>
      <c r="AD923" s="421">
        <v>2023</v>
      </c>
      <c r="AE923" s="421">
        <v>0.25726453825503359</v>
      </c>
      <c r="AF923" s="421" t="s">
        <v>619</v>
      </c>
      <c r="AG923" s="421" t="s">
        <v>506</v>
      </c>
    </row>
    <row r="924" spans="26:33">
      <c r="Z924" s="424" t="s">
        <v>538</v>
      </c>
      <c r="AA924" s="421" t="s">
        <v>459</v>
      </c>
      <c r="AB924" s="414" t="s">
        <v>599</v>
      </c>
      <c r="AC924" s="421" t="str">
        <f t="shared" si="14"/>
        <v>CroatiaVan - Diesel</v>
      </c>
      <c r="AD924" s="421">
        <v>2023</v>
      </c>
      <c r="AE924" s="421">
        <v>0.28788402684563758</v>
      </c>
      <c r="AF924" s="421" t="s">
        <v>619</v>
      </c>
      <c r="AG924" s="421" t="s">
        <v>506</v>
      </c>
    </row>
    <row r="925" spans="26:33">
      <c r="Z925" s="424" t="s">
        <v>538</v>
      </c>
      <c r="AA925" s="421" t="s">
        <v>459</v>
      </c>
      <c r="AB925" s="414" t="s">
        <v>601</v>
      </c>
      <c r="AC925" s="421" t="str">
        <f t="shared" si="14"/>
        <v>CroatiaVan - Electric</v>
      </c>
      <c r="AD925" s="421">
        <v>2023</v>
      </c>
      <c r="AE925" s="421">
        <v>8.9785241610738253E-2</v>
      </c>
      <c r="AF925" s="421" t="s">
        <v>619</v>
      </c>
      <c r="AG925" s="421" t="s">
        <v>506</v>
      </c>
    </row>
    <row r="926" spans="26:33">
      <c r="Z926" s="424" t="s">
        <v>626</v>
      </c>
      <c r="AA926" s="421" t="s">
        <v>459</v>
      </c>
      <c r="AB926" s="414" t="s">
        <v>595</v>
      </c>
      <c r="AC926" s="421" t="str">
        <f t="shared" si="14"/>
        <v>CyprusVan - Average</v>
      </c>
      <c r="AD926" s="421">
        <v>2023</v>
      </c>
      <c r="AE926" s="421">
        <v>0.28694965637583891</v>
      </c>
      <c r="AF926" s="421" t="s">
        <v>619</v>
      </c>
      <c r="AG926" s="421" t="s">
        <v>506</v>
      </c>
    </row>
    <row r="927" spans="26:33">
      <c r="Z927" s="424" t="s">
        <v>626</v>
      </c>
      <c r="AA927" s="421" t="s">
        <v>459</v>
      </c>
      <c r="AB927" s="414" t="s">
        <v>597</v>
      </c>
      <c r="AC927" s="421" t="str">
        <f t="shared" si="14"/>
        <v>CyprusVan - Petrol</v>
      </c>
      <c r="AD927" s="421">
        <v>2023</v>
      </c>
      <c r="AE927" s="421">
        <v>0.25726453825503359</v>
      </c>
      <c r="AF927" s="421" t="s">
        <v>619</v>
      </c>
      <c r="AG927" s="421" t="s">
        <v>506</v>
      </c>
    </row>
    <row r="928" spans="26:33">
      <c r="Z928" s="424" t="s">
        <v>626</v>
      </c>
      <c r="AA928" s="421" t="s">
        <v>459</v>
      </c>
      <c r="AB928" s="414" t="s">
        <v>599</v>
      </c>
      <c r="AC928" s="421" t="str">
        <f t="shared" si="14"/>
        <v>CyprusVan - Diesel</v>
      </c>
      <c r="AD928" s="421">
        <v>2023</v>
      </c>
      <c r="AE928" s="421">
        <v>0.28788402684563758</v>
      </c>
      <c r="AF928" s="421" t="s">
        <v>619</v>
      </c>
      <c r="AG928" s="421" t="s">
        <v>506</v>
      </c>
    </row>
    <row r="929" spans="26:33">
      <c r="Z929" s="424" t="s">
        <v>626</v>
      </c>
      <c r="AA929" s="421" t="s">
        <v>459</v>
      </c>
      <c r="AB929" s="414" t="s">
        <v>601</v>
      </c>
      <c r="AC929" s="421" t="str">
        <f t="shared" si="14"/>
        <v>CyprusVan - Electric</v>
      </c>
      <c r="AD929" s="421">
        <v>2023</v>
      </c>
      <c r="AE929" s="421">
        <v>8.9785241610738253E-2</v>
      </c>
      <c r="AF929" s="421" t="s">
        <v>619</v>
      </c>
      <c r="AG929" s="421" t="s">
        <v>506</v>
      </c>
    </row>
    <row r="930" spans="26:33">
      <c r="Z930" s="424" t="s">
        <v>542</v>
      </c>
      <c r="AA930" s="421" t="s">
        <v>459</v>
      </c>
      <c r="AB930" s="414" t="s">
        <v>595</v>
      </c>
      <c r="AC930" s="421" t="str">
        <f t="shared" si="14"/>
        <v>CzechiaVan - Average</v>
      </c>
      <c r="AD930" s="421">
        <v>2023</v>
      </c>
      <c r="AE930" s="421">
        <v>0.28694965637583891</v>
      </c>
      <c r="AF930" s="421" t="s">
        <v>619</v>
      </c>
      <c r="AG930" s="421" t="s">
        <v>506</v>
      </c>
    </row>
    <row r="931" spans="26:33">
      <c r="Z931" s="424" t="s">
        <v>542</v>
      </c>
      <c r="AA931" s="421" t="s">
        <v>459</v>
      </c>
      <c r="AB931" s="414" t="s">
        <v>597</v>
      </c>
      <c r="AC931" s="421" t="str">
        <f t="shared" si="14"/>
        <v>CzechiaVan - Petrol</v>
      </c>
      <c r="AD931" s="421">
        <v>2023</v>
      </c>
      <c r="AE931" s="421">
        <v>0.25726453825503359</v>
      </c>
      <c r="AF931" s="421" t="s">
        <v>619</v>
      </c>
      <c r="AG931" s="421" t="s">
        <v>506</v>
      </c>
    </row>
    <row r="932" spans="26:33">
      <c r="Z932" s="424" t="s">
        <v>542</v>
      </c>
      <c r="AA932" s="421" t="s">
        <v>459</v>
      </c>
      <c r="AB932" s="414" t="s">
        <v>599</v>
      </c>
      <c r="AC932" s="421" t="str">
        <f t="shared" si="14"/>
        <v>CzechiaVan - Diesel</v>
      </c>
      <c r="AD932" s="421">
        <v>2023</v>
      </c>
      <c r="AE932" s="421">
        <v>0.28788402684563758</v>
      </c>
      <c r="AF932" s="421" t="s">
        <v>619</v>
      </c>
      <c r="AG932" s="421" t="s">
        <v>506</v>
      </c>
    </row>
    <row r="933" spans="26:33">
      <c r="Z933" s="424" t="s">
        <v>542</v>
      </c>
      <c r="AA933" s="421" t="s">
        <v>459</v>
      </c>
      <c r="AB933" s="414" t="s">
        <v>601</v>
      </c>
      <c r="AC933" s="421" t="str">
        <f t="shared" si="14"/>
        <v>CzechiaVan - Electric</v>
      </c>
      <c r="AD933" s="421">
        <v>2023</v>
      </c>
      <c r="AE933" s="421">
        <v>8.9785241610738253E-2</v>
      </c>
      <c r="AF933" s="421" t="s">
        <v>619</v>
      </c>
      <c r="AG933" s="421" t="s">
        <v>506</v>
      </c>
    </row>
    <row r="934" spans="26:33">
      <c r="Z934" s="424" t="s">
        <v>545</v>
      </c>
      <c r="AA934" s="421" t="s">
        <v>459</v>
      </c>
      <c r="AB934" s="414" t="s">
        <v>595</v>
      </c>
      <c r="AC934" s="421" t="str">
        <f t="shared" si="14"/>
        <v>DenmarkVan - Average</v>
      </c>
      <c r="AD934" s="421">
        <v>2023</v>
      </c>
      <c r="AE934" s="421">
        <v>0.28694965637583891</v>
      </c>
      <c r="AF934" s="421" t="s">
        <v>619</v>
      </c>
      <c r="AG934" s="421" t="s">
        <v>506</v>
      </c>
    </row>
    <row r="935" spans="26:33">
      <c r="Z935" s="424" t="s">
        <v>545</v>
      </c>
      <c r="AA935" s="421" t="s">
        <v>459</v>
      </c>
      <c r="AB935" s="414" t="s">
        <v>597</v>
      </c>
      <c r="AC935" s="421" t="str">
        <f t="shared" si="14"/>
        <v>DenmarkVan - Petrol</v>
      </c>
      <c r="AD935" s="421">
        <v>2023</v>
      </c>
      <c r="AE935" s="421">
        <v>0.25726453825503359</v>
      </c>
      <c r="AF935" s="421" t="s">
        <v>619</v>
      </c>
      <c r="AG935" s="421" t="s">
        <v>506</v>
      </c>
    </row>
    <row r="936" spans="26:33">
      <c r="Z936" s="424" t="s">
        <v>545</v>
      </c>
      <c r="AA936" s="421" t="s">
        <v>459</v>
      </c>
      <c r="AB936" s="414" t="s">
        <v>599</v>
      </c>
      <c r="AC936" s="421" t="str">
        <f t="shared" si="14"/>
        <v>DenmarkVan - Diesel</v>
      </c>
      <c r="AD936" s="421">
        <v>2023</v>
      </c>
      <c r="AE936" s="421">
        <v>0.28788402684563758</v>
      </c>
      <c r="AF936" s="421" t="s">
        <v>619</v>
      </c>
      <c r="AG936" s="421" t="s">
        <v>506</v>
      </c>
    </row>
    <row r="937" spans="26:33">
      <c r="Z937" s="424" t="s">
        <v>545</v>
      </c>
      <c r="AA937" s="421" t="s">
        <v>459</v>
      </c>
      <c r="AB937" s="414" t="s">
        <v>601</v>
      </c>
      <c r="AC937" s="421" t="str">
        <f t="shared" si="14"/>
        <v>DenmarkVan - Electric</v>
      </c>
      <c r="AD937" s="421">
        <v>2023</v>
      </c>
      <c r="AE937" s="421">
        <v>8.9785241610738253E-2</v>
      </c>
      <c r="AF937" s="421" t="s">
        <v>619</v>
      </c>
      <c r="AG937" s="421" t="s">
        <v>506</v>
      </c>
    </row>
    <row r="938" spans="26:33">
      <c r="Z938" s="424" t="s">
        <v>550</v>
      </c>
      <c r="AA938" s="421" t="s">
        <v>459</v>
      </c>
      <c r="AB938" s="414" t="s">
        <v>595</v>
      </c>
      <c r="AC938" s="421" t="str">
        <f t="shared" si="14"/>
        <v>EstoniaVan - Average</v>
      </c>
      <c r="AD938" s="421">
        <v>2023</v>
      </c>
      <c r="AE938" s="421">
        <v>0.28694965637583891</v>
      </c>
      <c r="AF938" s="421" t="s">
        <v>619</v>
      </c>
      <c r="AG938" s="421" t="s">
        <v>506</v>
      </c>
    </row>
    <row r="939" spans="26:33">
      <c r="Z939" s="424" t="s">
        <v>550</v>
      </c>
      <c r="AA939" s="421" t="s">
        <v>459</v>
      </c>
      <c r="AB939" s="414" t="s">
        <v>597</v>
      </c>
      <c r="AC939" s="421" t="str">
        <f t="shared" si="14"/>
        <v>EstoniaVan - Petrol</v>
      </c>
      <c r="AD939" s="421">
        <v>2023</v>
      </c>
      <c r="AE939" s="421">
        <v>0.25726453825503359</v>
      </c>
      <c r="AF939" s="421" t="s">
        <v>619</v>
      </c>
      <c r="AG939" s="421" t="s">
        <v>506</v>
      </c>
    </row>
    <row r="940" spans="26:33">
      <c r="Z940" s="424" t="s">
        <v>550</v>
      </c>
      <c r="AA940" s="421" t="s">
        <v>459</v>
      </c>
      <c r="AB940" s="414" t="s">
        <v>599</v>
      </c>
      <c r="AC940" s="421" t="str">
        <f t="shared" si="14"/>
        <v>EstoniaVan - Diesel</v>
      </c>
      <c r="AD940" s="421">
        <v>2023</v>
      </c>
      <c r="AE940" s="421">
        <v>0.28788402684563758</v>
      </c>
      <c r="AF940" s="421" t="s">
        <v>619</v>
      </c>
      <c r="AG940" s="421" t="s">
        <v>506</v>
      </c>
    </row>
    <row r="941" spans="26:33">
      <c r="Z941" s="424" t="s">
        <v>550</v>
      </c>
      <c r="AA941" s="421" t="s">
        <v>459</v>
      </c>
      <c r="AB941" s="414" t="s">
        <v>601</v>
      </c>
      <c r="AC941" s="421" t="str">
        <f t="shared" si="14"/>
        <v>EstoniaVan - Electric</v>
      </c>
      <c r="AD941" s="421">
        <v>2023</v>
      </c>
      <c r="AE941" s="421">
        <v>8.9785241610738253E-2</v>
      </c>
      <c r="AF941" s="421" t="s">
        <v>619</v>
      </c>
      <c r="AG941" s="421" t="s">
        <v>506</v>
      </c>
    </row>
    <row r="942" spans="26:33">
      <c r="Z942" s="424" t="s">
        <v>627</v>
      </c>
      <c r="AA942" s="421" t="s">
        <v>459</v>
      </c>
      <c r="AB942" s="414" t="s">
        <v>595</v>
      </c>
      <c r="AC942" s="421" t="str">
        <f t="shared" si="14"/>
        <v>EU-27Van - Average</v>
      </c>
      <c r="AD942" s="421">
        <v>2023</v>
      </c>
      <c r="AE942" s="421">
        <v>0.28694965637583891</v>
      </c>
      <c r="AF942" s="421" t="s">
        <v>619</v>
      </c>
      <c r="AG942" s="421" t="s">
        <v>506</v>
      </c>
    </row>
    <row r="943" spans="26:33">
      <c r="Z943" s="424" t="s">
        <v>627</v>
      </c>
      <c r="AA943" s="421" t="s">
        <v>459</v>
      </c>
      <c r="AB943" s="414" t="s">
        <v>597</v>
      </c>
      <c r="AC943" s="421" t="str">
        <f t="shared" si="14"/>
        <v>EU-27Van - Petrol</v>
      </c>
      <c r="AD943" s="421">
        <v>2023</v>
      </c>
      <c r="AE943" s="421">
        <v>0.25726453825503359</v>
      </c>
      <c r="AF943" s="421" t="s">
        <v>619</v>
      </c>
      <c r="AG943" s="421" t="s">
        <v>506</v>
      </c>
    </row>
    <row r="944" spans="26:33">
      <c r="Z944" s="424" t="s">
        <v>627</v>
      </c>
      <c r="AA944" s="421" t="s">
        <v>459</v>
      </c>
      <c r="AB944" s="414" t="s">
        <v>599</v>
      </c>
      <c r="AC944" s="421" t="str">
        <f t="shared" si="14"/>
        <v>EU-27Van - Diesel</v>
      </c>
      <c r="AD944" s="421">
        <v>2023</v>
      </c>
      <c r="AE944" s="421">
        <v>0.28788402684563758</v>
      </c>
      <c r="AF944" s="421" t="s">
        <v>619</v>
      </c>
      <c r="AG944" s="421" t="s">
        <v>506</v>
      </c>
    </row>
    <row r="945" spans="26:33">
      <c r="Z945" s="424" t="s">
        <v>627</v>
      </c>
      <c r="AA945" s="421" t="s">
        <v>459</v>
      </c>
      <c r="AB945" s="414" t="s">
        <v>601</v>
      </c>
      <c r="AC945" s="421" t="str">
        <f t="shared" si="14"/>
        <v>EU-27Van - Electric</v>
      </c>
      <c r="AD945" s="421">
        <v>2023</v>
      </c>
      <c r="AE945" s="421">
        <v>8.9785241610738253E-2</v>
      </c>
      <c r="AF945" s="421" t="s">
        <v>619</v>
      </c>
      <c r="AG945" s="421" t="s">
        <v>506</v>
      </c>
    </row>
    <row r="946" spans="26:33">
      <c r="Z946" s="424" t="s">
        <v>555</v>
      </c>
      <c r="AA946" s="421" t="s">
        <v>459</v>
      </c>
      <c r="AB946" s="414" t="s">
        <v>595</v>
      </c>
      <c r="AC946" s="421" t="str">
        <f t="shared" si="14"/>
        <v>FinlandVan - Average</v>
      </c>
      <c r="AD946" s="421">
        <v>2023</v>
      </c>
      <c r="AE946" s="421">
        <v>0.28694965637583891</v>
      </c>
      <c r="AF946" s="421" t="s">
        <v>619</v>
      </c>
      <c r="AG946" s="421" t="s">
        <v>506</v>
      </c>
    </row>
    <row r="947" spans="26:33">
      <c r="Z947" s="424" t="s">
        <v>555</v>
      </c>
      <c r="AA947" s="421" t="s">
        <v>459</v>
      </c>
      <c r="AB947" s="414" t="s">
        <v>597</v>
      </c>
      <c r="AC947" s="421" t="str">
        <f t="shared" si="14"/>
        <v>FinlandVan - Petrol</v>
      </c>
      <c r="AD947" s="421">
        <v>2023</v>
      </c>
      <c r="AE947" s="421">
        <v>0.25726453825503359</v>
      </c>
      <c r="AF947" s="421" t="s">
        <v>619</v>
      </c>
      <c r="AG947" s="421" t="s">
        <v>506</v>
      </c>
    </row>
    <row r="948" spans="26:33">
      <c r="Z948" s="424" t="s">
        <v>555</v>
      </c>
      <c r="AA948" s="421" t="s">
        <v>459</v>
      </c>
      <c r="AB948" s="414" t="s">
        <v>599</v>
      </c>
      <c r="AC948" s="421" t="str">
        <f t="shared" si="14"/>
        <v>FinlandVan - Diesel</v>
      </c>
      <c r="AD948" s="421">
        <v>2023</v>
      </c>
      <c r="AE948" s="421">
        <v>0.28788402684563758</v>
      </c>
      <c r="AF948" s="421" t="s">
        <v>619</v>
      </c>
      <c r="AG948" s="421" t="s">
        <v>506</v>
      </c>
    </row>
    <row r="949" spans="26:33">
      <c r="Z949" s="424" t="s">
        <v>555</v>
      </c>
      <c r="AA949" s="421" t="s">
        <v>459</v>
      </c>
      <c r="AB949" s="414" t="s">
        <v>601</v>
      </c>
      <c r="AC949" s="421" t="str">
        <f t="shared" si="14"/>
        <v>FinlandVan - Electric</v>
      </c>
      <c r="AD949" s="421">
        <v>2023</v>
      </c>
      <c r="AE949" s="421">
        <v>8.9785241610738253E-2</v>
      </c>
      <c r="AF949" s="421" t="s">
        <v>619</v>
      </c>
      <c r="AG949" s="421" t="s">
        <v>506</v>
      </c>
    </row>
    <row r="950" spans="26:33">
      <c r="Z950" s="424" t="s">
        <v>560</v>
      </c>
      <c r="AA950" s="421" t="s">
        <v>459</v>
      </c>
      <c r="AB950" s="414" t="s">
        <v>595</v>
      </c>
      <c r="AC950" s="421" t="str">
        <f t="shared" si="14"/>
        <v>FranceVan - Average</v>
      </c>
      <c r="AD950" s="421">
        <v>2023</v>
      </c>
      <c r="AE950" s="421">
        <v>0.28694965637583891</v>
      </c>
      <c r="AF950" s="421" t="s">
        <v>619</v>
      </c>
      <c r="AG950" s="421" t="s">
        <v>506</v>
      </c>
    </row>
    <row r="951" spans="26:33">
      <c r="Z951" s="424" t="s">
        <v>560</v>
      </c>
      <c r="AA951" s="421" t="s">
        <v>459</v>
      </c>
      <c r="AB951" s="414" t="s">
        <v>597</v>
      </c>
      <c r="AC951" s="421" t="str">
        <f t="shared" si="14"/>
        <v>FranceVan - Petrol</v>
      </c>
      <c r="AD951" s="421">
        <v>2023</v>
      </c>
      <c r="AE951" s="421">
        <v>0.25726453825503359</v>
      </c>
      <c r="AF951" s="421" t="s">
        <v>619</v>
      </c>
      <c r="AG951" s="421" t="s">
        <v>506</v>
      </c>
    </row>
    <row r="952" spans="26:33">
      <c r="Z952" s="424" t="s">
        <v>560</v>
      </c>
      <c r="AA952" s="421" t="s">
        <v>459</v>
      </c>
      <c r="AB952" s="414" t="s">
        <v>599</v>
      </c>
      <c r="AC952" s="421" t="str">
        <f t="shared" si="14"/>
        <v>FranceVan - Diesel</v>
      </c>
      <c r="AD952" s="421">
        <v>2023</v>
      </c>
      <c r="AE952" s="421">
        <v>0.28788402684563758</v>
      </c>
      <c r="AF952" s="421" t="s">
        <v>619</v>
      </c>
      <c r="AG952" s="421" t="s">
        <v>506</v>
      </c>
    </row>
    <row r="953" spans="26:33">
      <c r="Z953" s="424" t="s">
        <v>560</v>
      </c>
      <c r="AA953" s="421" t="s">
        <v>459</v>
      </c>
      <c r="AB953" s="414" t="s">
        <v>601</v>
      </c>
      <c r="AC953" s="421" t="str">
        <f t="shared" si="14"/>
        <v>FranceVan - Electric</v>
      </c>
      <c r="AD953" s="421">
        <v>2023</v>
      </c>
      <c r="AE953" s="421">
        <v>8.9785241610738253E-2</v>
      </c>
      <c r="AF953" s="421" t="s">
        <v>619</v>
      </c>
      <c r="AG953" s="421" t="s">
        <v>506</v>
      </c>
    </row>
    <row r="954" spans="26:33">
      <c r="Z954" s="424" t="s">
        <v>565</v>
      </c>
      <c r="AA954" s="421" t="s">
        <v>459</v>
      </c>
      <c r="AB954" s="414" t="s">
        <v>595</v>
      </c>
      <c r="AC954" s="421" t="str">
        <f t="shared" si="14"/>
        <v>GermanyVan - Average</v>
      </c>
      <c r="AD954" s="421">
        <v>2023</v>
      </c>
      <c r="AE954" s="421">
        <v>0.28694965637583891</v>
      </c>
      <c r="AF954" s="421" t="s">
        <v>619</v>
      </c>
      <c r="AG954" s="421" t="s">
        <v>506</v>
      </c>
    </row>
    <row r="955" spans="26:33">
      <c r="Z955" s="424" t="s">
        <v>565</v>
      </c>
      <c r="AA955" s="421" t="s">
        <v>459</v>
      </c>
      <c r="AB955" s="414" t="s">
        <v>597</v>
      </c>
      <c r="AC955" s="421" t="str">
        <f t="shared" si="14"/>
        <v>GermanyVan - Petrol</v>
      </c>
      <c r="AD955" s="421">
        <v>2023</v>
      </c>
      <c r="AE955" s="421">
        <v>0.25726453825503359</v>
      </c>
      <c r="AF955" s="421" t="s">
        <v>619</v>
      </c>
      <c r="AG955" s="421" t="s">
        <v>506</v>
      </c>
    </row>
    <row r="956" spans="26:33">
      <c r="Z956" s="424" t="s">
        <v>565</v>
      </c>
      <c r="AA956" s="421" t="s">
        <v>459</v>
      </c>
      <c r="AB956" s="414" t="s">
        <v>599</v>
      </c>
      <c r="AC956" s="421" t="str">
        <f t="shared" si="14"/>
        <v>GermanyVan - Diesel</v>
      </c>
      <c r="AD956" s="421">
        <v>2023</v>
      </c>
      <c r="AE956" s="421">
        <v>0.28788402684563758</v>
      </c>
      <c r="AF956" s="421" t="s">
        <v>619</v>
      </c>
      <c r="AG956" s="421" t="s">
        <v>506</v>
      </c>
    </row>
    <row r="957" spans="26:33">
      <c r="Z957" s="424" t="s">
        <v>565</v>
      </c>
      <c r="AA957" s="421" t="s">
        <v>459</v>
      </c>
      <c r="AB957" s="414" t="s">
        <v>601</v>
      </c>
      <c r="AC957" s="421" t="str">
        <f t="shared" si="14"/>
        <v>GermanyVan - Electric</v>
      </c>
      <c r="AD957" s="421">
        <v>2023</v>
      </c>
      <c r="AE957" s="421">
        <v>8.9785241610738253E-2</v>
      </c>
      <c r="AF957" s="421" t="s">
        <v>619</v>
      </c>
      <c r="AG957" s="421" t="s">
        <v>506</v>
      </c>
    </row>
    <row r="958" spans="26:33">
      <c r="Z958" s="424" t="s">
        <v>570</v>
      </c>
      <c r="AA958" s="421" t="s">
        <v>459</v>
      </c>
      <c r="AB958" s="414" t="s">
        <v>595</v>
      </c>
      <c r="AC958" s="421" t="str">
        <f t="shared" si="14"/>
        <v>GreeceVan - Average</v>
      </c>
      <c r="AD958" s="421">
        <v>2023</v>
      </c>
      <c r="AE958" s="421">
        <v>0.28694965637583891</v>
      </c>
      <c r="AF958" s="421" t="s">
        <v>619</v>
      </c>
      <c r="AG958" s="421" t="s">
        <v>506</v>
      </c>
    </row>
    <row r="959" spans="26:33">
      <c r="Z959" s="424" t="s">
        <v>570</v>
      </c>
      <c r="AA959" s="421" t="s">
        <v>459</v>
      </c>
      <c r="AB959" s="414" t="s">
        <v>597</v>
      </c>
      <c r="AC959" s="421" t="str">
        <f t="shared" si="14"/>
        <v>GreeceVan - Petrol</v>
      </c>
      <c r="AD959" s="421">
        <v>2023</v>
      </c>
      <c r="AE959" s="421">
        <v>0.25726453825503359</v>
      </c>
      <c r="AF959" s="421" t="s">
        <v>619</v>
      </c>
      <c r="AG959" s="421" t="s">
        <v>506</v>
      </c>
    </row>
    <row r="960" spans="26:33">
      <c r="Z960" s="424" t="s">
        <v>570</v>
      </c>
      <c r="AA960" s="421" t="s">
        <v>459</v>
      </c>
      <c r="AB960" s="414" t="s">
        <v>599</v>
      </c>
      <c r="AC960" s="421" t="str">
        <f t="shared" si="14"/>
        <v>GreeceVan - Diesel</v>
      </c>
      <c r="AD960" s="421">
        <v>2023</v>
      </c>
      <c r="AE960" s="421">
        <v>0.28788402684563758</v>
      </c>
      <c r="AF960" s="421" t="s">
        <v>619</v>
      </c>
      <c r="AG960" s="421" t="s">
        <v>506</v>
      </c>
    </row>
    <row r="961" spans="26:33">
      <c r="Z961" s="424" t="s">
        <v>570</v>
      </c>
      <c r="AA961" s="421" t="s">
        <v>459</v>
      </c>
      <c r="AB961" s="414" t="s">
        <v>601</v>
      </c>
      <c r="AC961" s="421" t="str">
        <f t="shared" si="14"/>
        <v>GreeceVan - Electric</v>
      </c>
      <c r="AD961" s="421">
        <v>2023</v>
      </c>
      <c r="AE961" s="421">
        <v>8.9785241610738253E-2</v>
      </c>
      <c r="AF961" s="421" t="s">
        <v>619</v>
      </c>
      <c r="AG961" s="421" t="s">
        <v>506</v>
      </c>
    </row>
    <row r="962" spans="26:33">
      <c r="Z962" s="424" t="s">
        <v>575</v>
      </c>
      <c r="AA962" s="421" t="s">
        <v>459</v>
      </c>
      <c r="AB962" s="414" t="s">
        <v>595</v>
      </c>
      <c r="AC962" s="421" t="str">
        <f t="shared" si="14"/>
        <v>HungaryVan - Average</v>
      </c>
      <c r="AD962" s="421">
        <v>2023</v>
      </c>
      <c r="AE962" s="421">
        <v>0.28694965637583891</v>
      </c>
      <c r="AF962" s="421" t="s">
        <v>619</v>
      </c>
      <c r="AG962" s="421" t="s">
        <v>506</v>
      </c>
    </row>
    <row r="963" spans="26:33">
      <c r="Z963" s="424" t="s">
        <v>575</v>
      </c>
      <c r="AA963" s="421" t="s">
        <v>459</v>
      </c>
      <c r="AB963" s="414" t="s">
        <v>597</v>
      </c>
      <c r="AC963" s="421" t="str">
        <f t="shared" ref="AC963:AC1026" si="15">Z963&amp;AB963</f>
        <v>HungaryVan - Petrol</v>
      </c>
      <c r="AD963" s="421">
        <v>2023</v>
      </c>
      <c r="AE963" s="421">
        <v>0.25726453825503359</v>
      </c>
      <c r="AF963" s="421" t="s">
        <v>619</v>
      </c>
      <c r="AG963" s="421" t="s">
        <v>506</v>
      </c>
    </row>
    <row r="964" spans="26:33">
      <c r="Z964" s="424" t="s">
        <v>575</v>
      </c>
      <c r="AA964" s="421" t="s">
        <v>459</v>
      </c>
      <c r="AB964" s="414" t="s">
        <v>599</v>
      </c>
      <c r="AC964" s="421" t="str">
        <f t="shared" si="15"/>
        <v>HungaryVan - Diesel</v>
      </c>
      <c r="AD964" s="421">
        <v>2023</v>
      </c>
      <c r="AE964" s="421">
        <v>0.28788402684563758</v>
      </c>
      <c r="AF964" s="421" t="s">
        <v>619</v>
      </c>
      <c r="AG964" s="421" t="s">
        <v>506</v>
      </c>
    </row>
    <row r="965" spans="26:33">
      <c r="Z965" s="424" t="s">
        <v>575</v>
      </c>
      <c r="AA965" s="421" t="s">
        <v>459</v>
      </c>
      <c r="AB965" s="414" t="s">
        <v>601</v>
      </c>
      <c r="AC965" s="421" t="str">
        <f t="shared" si="15"/>
        <v>HungaryVan - Electric</v>
      </c>
      <c r="AD965" s="421">
        <v>2023</v>
      </c>
      <c r="AE965" s="421">
        <v>8.9785241610738253E-2</v>
      </c>
      <c r="AF965" s="421" t="s">
        <v>619</v>
      </c>
      <c r="AG965" s="421" t="s">
        <v>506</v>
      </c>
    </row>
    <row r="966" spans="26:33">
      <c r="Z966" s="424" t="s">
        <v>579</v>
      </c>
      <c r="AA966" s="421" t="s">
        <v>459</v>
      </c>
      <c r="AB966" s="414" t="s">
        <v>595</v>
      </c>
      <c r="AC966" s="421" t="str">
        <f t="shared" si="15"/>
        <v>IcelandVan - Average</v>
      </c>
      <c r="AD966" s="421">
        <v>2023</v>
      </c>
      <c r="AE966" s="421">
        <v>0.28694965637583891</v>
      </c>
      <c r="AF966" s="421" t="s">
        <v>619</v>
      </c>
      <c r="AG966" s="421" t="s">
        <v>506</v>
      </c>
    </row>
    <row r="967" spans="26:33">
      <c r="Z967" s="424" t="s">
        <v>579</v>
      </c>
      <c r="AA967" s="421" t="s">
        <v>459</v>
      </c>
      <c r="AB967" s="414" t="s">
        <v>597</v>
      </c>
      <c r="AC967" s="421" t="str">
        <f t="shared" si="15"/>
        <v>IcelandVan - Petrol</v>
      </c>
      <c r="AD967" s="421">
        <v>2023</v>
      </c>
      <c r="AE967" s="421">
        <v>0.25726453825503359</v>
      </c>
      <c r="AF967" s="421" t="s">
        <v>619</v>
      </c>
      <c r="AG967" s="421" t="s">
        <v>506</v>
      </c>
    </row>
    <row r="968" spans="26:33">
      <c r="Z968" s="424" t="s">
        <v>579</v>
      </c>
      <c r="AA968" s="421" t="s">
        <v>459</v>
      </c>
      <c r="AB968" s="414" t="s">
        <v>599</v>
      </c>
      <c r="AC968" s="421" t="str">
        <f t="shared" si="15"/>
        <v>IcelandVan - Diesel</v>
      </c>
      <c r="AD968" s="421">
        <v>2023</v>
      </c>
      <c r="AE968" s="421">
        <v>0.28788402684563758</v>
      </c>
      <c r="AF968" s="421" t="s">
        <v>619</v>
      </c>
      <c r="AG968" s="421" t="s">
        <v>506</v>
      </c>
    </row>
    <row r="969" spans="26:33">
      <c r="Z969" s="424" t="s">
        <v>579</v>
      </c>
      <c r="AA969" s="421" t="s">
        <v>459</v>
      </c>
      <c r="AB969" s="414" t="s">
        <v>601</v>
      </c>
      <c r="AC969" s="421" t="str">
        <f t="shared" si="15"/>
        <v>IcelandVan - Electric</v>
      </c>
      <c r="AD969" s="421">
        <v>2023</v>
      </c>
      <c r="AE969" s="421">
        <v>8.9785241610738253E-2</v>
      </c>
      <c r="AF969" s="421" t="s">
        <v>619</v>
      </c>
      <c r="AG969" s="421" t="s">
        <v>506</v>
      </c>
    </row>
    <row r="970" spans="26:33">
      <c r="Z970" s="424" t="s">
        <v>583</v>
      </c>
      <c r="AA970" s="421" t="s">
        <v>459</v>
      </c>
      <c r="AB970" s="414" t="s">
        <v>595</v>
      </c>
      <c r="AC970" s="421" t="str">
        <f t="shared" si="15"/>
        <v>IrelandVan - Average</v>
      </c>
      <c r="AD970" s="421">
        <v>2023</v>
      </c>
      <c r="AE970" s="421">
        <v>0.28694965637583891</v>
      </c>
      <c r="AF970" s="421" t="s">
        <v>619</v>
      </c>
      <c r="AG970" s="421" t="s">
        <v>506</v>
      </c>
    </row>
    <row r="971" spans="26:33">
      <c r="Z971" s="424" t="s">
        <v>583</v>
      </c>
      <c r="AA971" s="421" t="s">
        <v>459</v>
      </c>
      <c r="AB971" s="414" t="s">
        <v>597</v>
      </c>
      <c r="AC971" s="421" t="str">
        <f t="shared" si="15"/>
        <v>IrelandVan - Petrol</v>
      </c>
      <c r="AD971" s="421">
        <v>2023</v>
      </c>
      <c r="AE971" s="421">
        <v>0.25726453825503359</v>
      </c>
      <c r="AF971" s="421" t="s">
        <v>619</v>
      </c>
      <c r="AG971" s="421" t="s">
        <v>506</v>
      </c>
    </row>
    <row r="972" spans="26:33">
      <c r="Z972" s="424" t="s">
        <v>583</v>
      </c>
      <c r="AA972" s="421" t="s">
        <v>459</v>
      </c>
      <c r="AB972" s="414" t="s">
        <v>599</v>
      </c>
      <c r="AC972" s="421" t="str">
        <f t="shared" si="15"/>
        <v>IrelandVan - Diesel</v>
      </c>
      <c r="AD972" s="421">
        <v>2023</v>
      </c>
      <c r="AE972" s="421">
        <v>0.28788402684563758</v>
      </c>
      <c r="AF972" s="421" t="s">
        <v>619</v>
      </c>
      <c r="AG972" s="421" t="s">
        <v>506</v>
      </c>
    </row>
    <row r="973" spans="26:33">
      <c r="Z973" s="424" t="s">
        <v>583</v>
      </c>
      <c r="AA973" s="421" t="s">
        <v>459</v>
      </c>
      <c r="AB973" s="414" t="s">
        <v>601</v>
      </c>
      <c r="AC973" s="421" t="str">
        <f t="shared" si="15"/>
        <v>IrelandVan - Electric</v>
      </c>
      <c r="AD973" s="421">
        <v>2023</v>
      </c>
      <c r="AE973" s="421">
        <v>8.9785241610738253E-2</v>
      </c>
      <c r="AF973" s="421" t="s">
        <v>619</v>
      </c>
      <c r="AG973" s="421" t="s">
        <v>506</v>
      </c>
    </row>
    <row r="974" spans="26:33">
      <c r="Z974" s="424" t="s">
        <v>585</v>
      </c>
      <c r="AA974" s="421" t="s">
        <v>459</v>
      </c>
      <c r="AB974" s="414" t="s">
        <v>595</v>
      </c>
      <c r="AC974" s="421" t="str">
        <f t="shared" si="15"/>
        <v>ItalyVan - Average</v>
      </c>
      <c r="AD974" s="421">
        <v>2023</v>
      </c>
      <c r="AE974" s="421">
        <v>0.28694965637583891</v>
      </c>
      <c r="AF974" s="421" t="s">
        <v>619</v>
      </c>
      <c r="AG974" s="421" t="s">
        <v>506</v>
      </c>
    </row>
    <row r="975" spans="26:33">
      <c r="Z975" s="424" t="s">
        <v>585</v>
      </c>
      <c r="AA975" s="421" t="s">
        <v>459</v>
      </c>
      <c r="AB975" s="414" t="s">
        <v>597</v>
      </c>
      <c r="AC975" s="421" t="str">
        <f t="shared" si="15"/>
        <v>ItalyVan - Petrol</v>
      </c>
      <c r="AD975" s="421">
        <v>2023</v>
      </c>
      <c r="AE975" s="421">
        <v>0.25726453825503359</v>
      </c>
      <c r="AF975" s="421" t="s">
        <v>619</v>
      </c>
      <c r="AG975" s="421" t="s">
        <v>506</v>
      </c>
    </row>
    <row r="976" spans="26:33">
      <c r="Z976" s="424" t="s">
        <v>585</v>
      </c>
      <c r="AA976" s="421" t="s">
        <v>459</v>
      </c>
      <c r="AB976" s="414" t="s">
        <v>599</v>
      </c>
      <c r="AC976" s="421" t="str">
        <f t="shared" si="15"/>
        <v>ItalyVan - Diesel</v>
      </c>
      <c r="AD976" s="421">
        <v>2023</v>
      </c>
      <c r="AE976" s="421">
        <v>0.28788402684563758</v>
      </c>
      <c r="AF976" s="421" t="s">
        <v>619</v>
      </c>
      <c r="AG976" s="421" t="s">
        <v>506</v>
      </c>
    </row>
    <row r="977" spans="26:33">
      <c r="Z977" s="424" t="s">
        <v>585</v>
      </c>
      <c r="AA977" s="421" t="s">
        <v>459</v>
      </c>
      <c r="AB977" s="414" t="s">
        <v>601</v>
      </c>
      <c r="AC977" s="421" t="str">
        <f t="shared" si="15"/>
        <v>ItalyVan - Electric</v>
      </c>
      <c r="AD977" s="421">
        <v>2023</v>
      </c>
      <c r="AE977" s="421">
        <v>8.9785241610738253E-2</v>
      </c>
      <c r="AF977" s="421" t="s">
        <v>619</v>
      </c>
      <c r="AG977" s="421" t="s">
        <v>506</v>
      </c>
    </row>
    <row r="978" spans="26:33">
      <c r="Z978" s="424" t="s">
        <v>587</v>
      </c>
      <c r="AA978" s="421" t="s">
        <v>459</v>
      </c>
      <c r="AB978" s="414" t="s">
        <v>595</v>
      </c>
      <c r="AC978" s="421" t="str">
        <f t="shared" si="15"/>
        <v>LatviaVan - Average</v>
      </c>
      <c r="AD978" s="421">
        <v>2023</v>
      </c>
      <c r="AE978" s="421">
        <v>0.28694965637583891</v>
      </c>
      <c r="AF978" s="421" t="s">
        <v>619</v>
      </c>
      <c r="AG978" s="421" t="s">
        <v>506</v>
      </c>
    </row>
    <row r="979" spans="26:33">
      <c r="Z979" s="424" t="s">
        <v>587</v>
      </c>
      <c r="AA979" s="421" t="s">
        <v>459</v>
      </c>
      <c r="AB979" s="414" t="s">
        <v>597</v>
      </c>
      <c r="AC979" s="421" t="str">
        <f t="shared" si="15"/>
        <v>LatviaVan - Petrol</v>
      </c>
      <c r="AD979" s="421">
        <v>2023</v>
      </c>
      <c r="AE979" s="421">
        <v>0.25726453825503359</v>
      </c>
      <c r="AF979" s="421" t="s">
        <v>619</v>
      </c>
      <c r="AG979" s="421" t="s">
        <v>506</v>
      </c>
    </row>
    <row r="980" spans="26:33">
      <c r="Z980" s="424" t="s">
        <v>587</v>
      </c>
      <c r="AA980" s="421" t="s">
        <v>459</v>
      </c>
      <c r="AB980" s="414" t="s">
        <v>599</v>
      </c>
      <c r="AC980" s="421" t="str">
        <f t="shared" si="15"/>
        <v>LatviaVan - Diesel</v>
      </c>
      <c r="AD980" s="421">
        <v>2023</v>
      </c>
      <c r="AE980" s="421">
        <v>0.28788402684563758</v>
      </c>
      <c r="AF980" s="421" t="s">
        <v>619</v>
      </c>
      <c r="AG980" s="421" t="s">
        <v>506</v>
      </c>
    </row>
    <row r="981" spans="26:33">
      <c r="Z981" s="424" t="s">
        <v>587</v>
      </c>
      <c r="AA981" s="421" t="s">
        <v>459</v>
      </c>
      <c r="AB981" s="414" t="s">
        <v>601</v>
      </c>
      <c r="AC981" s="421" t="str">
        <f t="shared" si="15"/>
        <v>LatviaVan - Electric</v>
      </c>
      <c r="AD981" s="421">
        <v>2023</v>
      </c>
      <c r="AE981" s="421">
        <v>8.9785241610738253E-2</v>
      </c>
      <c r="AF981" s="421" t="s">
        <v>619</v>
      </c>
      <c r="AG981" s="421" t="s">
        <v>506</v>
      </c>
    </row>
    <row r="982" spans="26:33">
      <c r="Z982" s="424" t="s">
        <v>589</v>
      </c>
      <c r="AA982" s="421" t="s">
        <v>459</v>
      </c>
      <c r="AB982" s="414" t="s">
        <v>595</v>
      </c>
      <c r="AC982" s="421" t="str">
        <f t="shared" si="15"/>
        <v>LiechtensteinVan - Average</v>
      </c>
      <c r="AD982" s="421">
        <v>2023</v>
      </c>
      <c r="AE982" s="421">
        <v>0.28694965637583891</v>
      </c>
      <c r="AF982" s="421" t="s">
        <v>619</v>
      </c>
      <c r="AG982" s="421" t="s">
        <v>506</v>
      </c>
    </row>
    <row r="983" spans="26:33">
      <c r="Z983" s="424" t="s">
        <v>589</v>
      </c>
      <c r="AA983" s="421" t="s">
        <v>459</v>
      </c>
      <c r="AB983" s="414" t="s">
        <v>597</v>
      </c>
      <c r="AC983" s="421" t="str">
        <f t="shared" si="15"/>
        <v>LiechtensteinVan - Petrol</v>
      </c>
      <c r="AD983" s="421">
        <v>2023</v>
      </c>
      <c r="AE983" s="421">
        <v>0.25726453825503359</v>
      </c>
      <c r="AF983" s="421" t="s">
        <v>619</v>
      </c>
      <c r="AG983" s="421" t="s">
        <v>506</v>
      </c>
    </row>
    <row r="984" spans="26:33">
      <c r="Z984" s="424" t="s">
        <v>589</v>
      </c>
      <c r="AA984" s="421" t="s">
        <v>459</v>
      </c>
      <c r="AB984" s="414" t="s">
        <v>599</v>
      </c>
      <c r="AC984" s="421" t="str">
        <f t="shared" si="15"/>
        <v>LiechtensteinVan - Diesel</v>
      </c>
      <c r="AD984" s="421">
        <v>2023</v>
      </c>
      <c r="AE984" s="421">
        <v>0.28788402684563758</v>
      </c>
      <c r="AF984" s="421" t="s">
        <v>619</v>
      </c>
      <c r="AG984" s="421" t="s">
        <v>506</v>
      </c>
    </row>
    <row r="985" spans="26:33">
      <c r="Z985" s="424" t="s">
        <v>589</v>
      </c>
      <c r="AA985" s="421" t="s">
        <v>459</v>
      </c>
      <c r="AB985" s="414" t="s">
        <v>601</v>
      </c>
      <c r="AC985" s="421" t="str">
        <f t="shared" si="15"/>
        <v>LiechtensteinVan - Electric</v>
      </c>
      <c r="AD985" s="421">
        <v>2023</v>
      </c>
      <c r="AE985" s="421">
        <v>8.9785241610738253E-2</v>
      </c>
      <c r="AF985" s="421" t="s">
        <v>619</v>
      </c>
      <c r="AG985" s="421" t="s">
        <v>506</v>
      </c>
    </row>
    <row r="986" spans="26:33">
      <c r="Z986" s="424" t="s">
        <v>591</v>
      </c>
      <c r="AA986" s="421" t="s">
        <v>459</v>
      </c>
      <c r="AB986" s="414" t="s">
        <v>595</v>
      </c>
      <c r="AC986" s="421" t="str">
        <f t="shared" si="15"/>
        <v>LithuaniaVan - Average</v>
      </c>
      <c r="AD986" s="421">
        <v>2023</v>
      </c>
      <c r="AE986" s="421">
        <v>0.28694965637583891</v>
      </c>
      <c r="AF986" s="421" t="s">
        <v>619</v>
      </c>
      <c r="AG986" s="421" t="s">
        <v>506</v>
      </c>
    </row>
    <row r="987" spans="26:33">
      <c r="Z987" s="424" t="s">
        <v>591</v>
      </c>
      <c r="AA987" s="421" t="s">
        <v>459</v>
      </c>
      <c r="AB987" s="414" t="s">
        <v>597</v>
      </c>
      <c r="AC987" s="421" t="str">
        <f t="shared" si="15"/>
        <v>LithuaniaVan - Petrol</v>
      </c>
      <c r="AD987" s="421">
        <v>2023</v>
      </c>
      <c r="AE987" s="421">
        <v>0.25726453825503359</v>
      </c>
      <c r="AF987" s="421" t="s">
        <v>619</v>
      </c>
      <c r="AG987" s="421" t="s">
        <v>506</v>
      </c>
    </row>
    <row r="988" spans="26:33">
      <c r="Z988" s="424" t="s">
        <v>591</v>
      </c>
      <c r="AA988" s="421" t="s">
        <v>459</v>
      </c>
      <c r="AB988" s="414" t="s">
        <v>599</v>
      </c>
      <c r="AC988" s="421" t="str">
        <f t="shared" si="15"/>
        <v>LithuaniaVan - Diesel</v>
      </c>
      <c r="AD988" s="421">
        <v>2023</v>
      </c>
      <c r="AE988" s="421">
        <v>0.28788402684563758</v>
      </c>
      <c r="AF988" s="421" t="s">
        <v>619</v>
      </c>
      <c r="AG988" s="421" t="s">
        <v>506</v>
      </c>
    </row>
    <row r="989" spans="26:33">
      <c r="Z989" s="424" t="s">
        <v>591</v>
      </c>
      <c r="AA989" s="421" t="s">
        <v>459</v>
      </c>
      <c r="AB989" s="414" t="s">
        <v>601</v>
      </c>
      <c r="AC989" s="421" t="str">
        <f t="shared" si="15"/>
        <v>LithuaniaVan - Electric</v>
      </c>
      <c r="AD989" s="421">
        <v>2023</v>
      </c>
      <c r="AE989" s="421">
        <v>8.9785241610738253E-2</v>
      </c>
      <c r="AF989" s="421" t="s">
        <v>619</v>
      </c>
      <c r="AG989" s="421" t="s">
        <v>506</v>
      </c>
    </row>
    <row r="990" spans="26:33">
      <c r="Z990" s="424" t="s">
        <v>594</v>
      </c>
      <c r="AA990" s="421" t="s">
        <v>459</v>
      </c>
      <c r="AB990" s="414" t="s">
        <v>595</v>
      </c>
      <c r="AC990" s="421" t="str">
        <f t="shared" si="15"/>
        <v>LuxembourgVan - Average</v>
      </c>
      <c r="AD990" s="421">
        <v>2023</v>
      </c>
      <c r="AE990" s="421">
        <v>0.28694965637583891</v>
      </c>
      <c r="AF990" s="421" t="s">
        <v>619</v>
      </c>
      <c r="AG990" s="421" t="s">
        <v>506</v>
      </c>
    </row>
    <row r="991" spans="26:33">
      <c r="Z991" s="424" t="s">
        <v>594</v>
      </c>
      <c r="AA991" s="421" t="s">
        <v>459</v>
      </c>
      <c r="AB991" s="414" t="s">
        <v>597</v>
      </c>
      <c r="AC991" s="421" t="str">
        <f t="shared" si="15"/>
        <v>LuxembourgVan - Petrol</v>
      </c>
      <c r="AD991" s="421">
        <v>2023</v>
      </c>
      <c r="AE991" s="421">
        <v>0.25726453825503359</v>
      </c>
      <c r="AF991" s="421" t="s">
        <v>619</v>
      </c>
      <c r="AG991" s="421" t="s">
        <v>506</v>
      </c>
    </row>
    <row r="992" spans="26:33">
      <c r="Z992" s="424" t="s">
        <v>594</v>
      </c>
      <c r="AA992" s="421" t="s">
        <v>459</v>
      </c>
      <c r="AB992" s="414" t="s">
        <v>599</v>
      </c>
      <c r="AC992" s="421" t="str">
        <f t="shared" si="15"/>
        <v>LuxembourgVan - Diesel</v>
      </c>
      <c r="AD992" s="421">
        <v>2023</v>
      </c>
      <c r="AE992" s="421">
        <v>0.28788402684563758</v>
      </c>
      <c r="AF992" s="421" t="s">
        <v>619</v>
      </c>
      <c r="AG992" s="421" t="s">
        <v>506</v>
      </c>
    </row>
    <row r="993" spans="26:33">
      <c r="Z993" s="424" t="s">
        <v>594</v>
      </c>
      <c r="AA993" s="421" t="s">
        <v>459</v>
      </c>
      <c r="AB993" s="414" t="s">
        <v>601</v>
      </c>
      <c r="AC993" s="421" t="str">
        <f t="shared" si="15"/>
        <v>LuxembourgVan - Electric</v>
      </c>
      <c r="AD993" s="421">
        <v>2023</v>
      </c>
      <c r="AE993" s="421">
        <v>8.9785241610738253E-2</v>
      </c>
      <c r="AF993" s="421" t="s">
        <v>619</v>
      </c>
      <c r="AG993" s="421" t="s">
        <v>506</v>
      </c>
    </row>
    <row r="994" spans="26:33">
      <c r="Z994" s="424" t="s">
        <v>596</v>
      </c>
      <c r="AA994" s="421" t="s">
        <v>459</v>
      </c>
      <c r="AB994" s="414" t="s">
        <v>595</v>
      </c>
      <c r="AC994" s="421" t="str">
        <f t="shared" si="15"/>
        <v>MaltaVan - Average</v>
      </c>
      <c r="AD994" s="421">
        <v>2023</v>
      </c>
      <c r="AE994" s="421">
        <v>0.28694965637583891</v>
      </c>
      <c r="AF994" s="421" t="s">
        <v>619</v>
      </c>
      <c r="AG994" s="421" t="s">
        <v>506</v>
      </c>
    </row>
    <row r="995" spans="26:33">
      <c r="Z995" s="424" t="s">
        <v>596</v>
      </c>
      <c r="AA995" s="421" t="s">
        <v>459</v>
      </c>
      <c r="AB995" s="414" t="s">
        <v>597</v>
      </c>
      <c r="AC995" s="421" t="str">
        <f t="shared" si="15"/>
        <v>MaltaVan - Petrol</v>
      </c>
      <c r="AD995" s="421">
        <v>2023</v>
      </c>
      <c r="AE995" s="421">
        <v>0.25726453825503359</v>
      </c>
      <c r="AF995" s="421" t="s">
        <v>619</v>
      </c>
      <c r="AG995" s="421" t="s">
        <v>506</v>
      </c>
    </row>
    <row r="996" spans="26:33">
      <c r="Z996" s="424" t="s">
        <v>596</v>
      </c>
      <c r="AA996" s="421" t="s">
        <v>459</v>
      </c>
      <c r="AB996" s="414" t="s">
        <v>599</v>
      </c>
      <c r="AC996" s="421" t="str">
        <f t="shared" si="15"/>
        <v>MaltaVan - Diesel</v>
      </c>
      <c r="AD996" s="421">
        <v>2023</v>
      </c>
      <c r="AE996" s="421">
        <v>0.28788402684563758</v>
      </c>
      <c r="AF996" s="421" t="s">
        <v>619</v>
      </c>
      <c r="AG996" s="421" t="s">
        <v>506</v>
      </c>
    </row>
    <row r="997" spans="26:33">
      <c r="Z997" s="424" t="s">
        <v>596</v>
      </c>
      <c r="AA997" s="421" t="s">
        <v>459</v>
      </c>
      <c r="AB997" s="414" t="s">
        <v>601</v>
      </c>
      <c r="AC997" s="421" t="str">
        <f t="shared" si="15"/>
        <v>MaltaVan - Electric</v>
      </c>
      <c r="AD997" s="421">
        <v>2023</v>
      </c>
      <c r="AE997" s="421">
        <v>8.9785241610738253E-2</v>
      </c>
      <c r="AF997" s="421" t="s">
        <v>619</v>
      </c>
      <c r="AG997" s="421" t="s">
        <v>506</v>
      </c>
    </row>
    <row r="998" spans="26:33">
      <c r="Z998" s="424" t="s">
        <v>598</v>
      </c>
      <c r="AA998" s="421" t="s">
        <v>459</v>
      </c>
      <c r="AB998" s="414" t="s">
        <v>595</v>
      </c>
      <c r="AC998" s="421" t="str">
        <f t="shared" si="15"/>
        <v>MoldovaVan - Average</v>
      </c>
      <c r="AD998" s="421">
        <v>2023</v>
      </c>
      <c r="AE998" s="421">
        <v>0.28694965637583891</v>
      </c>
      <c r="AF998" s="421" t="s">
        <v>619</v>
      </c>
      <c r="AG998" s="421" t="s">
        <v>506</v>
      </c>
    </row>
    <row r="999" spans="26:33">
      <c r="Z999" s="424" t="s">
        <v>598</v>
      </c>
      <c r="AA999" s="421" t="s">
        <v>459</v>
      </c>
      <c r="AB999" s="414" t="s">
        <v>597</v>
      </c>
      <c r="AC999" s="421" t="str">
        <f t="shared" si="15"/>
        <v>MoldovaVan - Petrol</v>
      </c>
      <c r="AD999" s="421">
        <v>2023</v>
      </c>
      <c r="AE999" s="421">
        <v>0.25726453825503359</v>
      </c>
      <c r="AF999" s="421" t="s">
        <v>619</v>
      </c>
      <c r="AG999" s="421" t="s">
        <v>506</v>
      </c>
    </row>
    <row r="1000" spans="26:33">
      <c r="Z1000" s="424" t="s">
        <v>598</v>
      </c>
      <c r="AA1000" s="421" t="s">
        <v>459</v>
      </c>
      <c r="AB1000" s="414" t="s">
        <v>599</v>
      </c>
      <c r="AC1000" s="421" t="str">
        <f t="shared" si="15"/>
        <v>MoldovaVan - Diesel</v>
      </c>
      <c r="AD1000" s="421">
        <v>2023</v>
      </c>
      <c r="AE1000" s="421">
        <v>0.28788402684563758</v>
      </c>
      <c r="AF1000" s="421" t="s">
        <v>619</v>
      </c>
      <c r="AG1000" s="421" t="s">
        <v>506</v>
      </c>
    </row>
    <row r="1001" spans="26:33">
      <c r="Z1001" s="424" t="s">
        <v>598</v>
      </c>
      <c r="AA1001" s="421" t="s">
        <v>459</v>
      </c>
      <c r="AB1001" s="414" t="s">
        <v>601</v>
      </c>
      <c r="AC1001" s="421" t="str">
        <f t="shared" si="15"/>
        <v>MoldovaVan - Electric</v>
      </c>
      <c r="AD1001" s="421">
        <v>2023</v>
      </c>
      <c r="AE1001" s="421">
        <v>8.9785241610738253E-2</v>
      </c>
      <c r="AF1001" s="421" t="s">
        <v>619</v>
      </c>
      <c r="AG1001" s="421" t="s">
        <v>506</v>
      </c>
    </row>
    <row r="1002" spans="26:33">
      <c r="Z1002" s="424" t="s">
        <v>600</v>
      </c>
      <c r="AA1002" s="421" t="s">
        <v>459</v>
      </c>
      <c r="AB1002" s="414" t="s">
        <v>595</v>
      </c>
      <c r="AC1002" s="421" t="str">
        <f t="shared" si="15"/>
        <v>MonacoVan - Average</v>
      </c>
      <c r="AD1002" s="421">
        <v>2023</v>
      </c>
      <c r="AE1002" s="421">
        <v>0.28694965637583891</v>
      </c>
      <c r="AF1002" s="421" t="s">
        <v>619</v>
      </c>
      <c r="AG1002" s="421" t="s">
        <v>506</v>
      </c>
    </row>
    <row r="1003" spans="26:33">
      <c r="Z1003" s="424" t="s">
        <v>600</v>
      </c>
      <c r="AA1003" s="421" t="s">
        <v>459</v>
      </c>
      <c r="AB1003" s="414" t="s">
        <v>597</v>
      </c>
      <c r="AC1003" s="421" t="str">
        <f t="shared" si="15"/>
        <v>MonacoVan - Petrol</v>
      </c>
      <c r="AD1003" s="421">
        <v>2023</v>
      </c>
      <c r="AE1003" s="421">
        <v>0.25726453825503359</v>
      </c>
      <c r="AF1003" s="421" t="s">
        <v>619</v>
      </c>
      <c r="AG1003" s="421" t="s">
        <v>506</v>
      </c>
    </row>
    <row r="1004" spans="26:33">
      <c r="Z1004" s="424" t="s">
        <v>600</v>
      </c>
      <c r="AA1004" s="421" t="s">
        <v>459</v>
      </c>
      <c r="AB1004" s="414" t="s">
        <v>599</v>
      </c>
      <c r="AC1004" s="421" t="str">
        <f t="shared" si="15"/>
        <v>MonacoVan - Diesel</v>
      </c>
      <c r="AD1004" s="421">
        <v>2023</v>
      </c>
      <c r="AE1004" s="421">
        <v>0.28788402684563758</v>
      </c>
      <c r="AF1004" s="421" t="s">
        <v>619</v>
      </c>
      <c r="AG1004" s="421" t="s">
        <v>506</v>
      </c>
    </row>
    <row r="1005" spans="26:33">
      <c r="Z1005" s="424" t="s">
        <v>600</v>
      </c>
      <c r="AA1005" s="421" t="s">
        <v>459</v>
      </c>
      <c r="AB1005" s="414" t="s">
        <v>601</v>
      </c>
      <c r="AC1005" s="421" t="str">
        <f t="shared" si="15"/>
        <v>MonacoVan - Electric</v>
      </c>
      <c r="AD1005" s="421">
        <v>2023</v>
      </c>
      <c r="AE1005" s="421">
        <v>8.9785241610738253E-2</v>
      </c>
      <c r="AF1005" s="421" t="s">
        <v>619</v>
      </c>
      <c r="AG1005" s="421" t="s">
        <v>506</v>
      </c>
    </row>
    <row r="1006" spans="26:33">
      <c r="Z1006" s="424" t="s">
        <v>602</v>
      </c>
      <c r="AA1006" s="421" t="s">
        <v>459</v>
      </c>
      <c r="AB1006" s="414" t="s">
        <v>595</v>
      </c>
      <c r="AC1006" s="421" t="str">
        <f t="shared" si="15"/>
        <v>MontenegroVan - Average</v>
      </c>
      <c r="AD1006" s="421">
        <v>2023</v>
      </c>
      <c r="AE1006" s="421">
        <v>0.28694965637583891</v>
      </c>
      <c r="AF1006" s="421" t="s">
        <v>619</v>
      </c>
      <c r="AG1006" s="421" t="s">
        <v>506</v>
      </c>
    </row>
    <row r="1007" spans="26:33">
      <c r="Z1007" s="424" t="s">
        <v>602</v>
      </c>
      <c r="AA1007" s="421" t="s">
        <v>459</v>
      </c>
      <c r="AB1007" s="414" t="s">
        <v>597</v>
      </c>
      <c r="AC1007" s="421" t="str">
        <f t="shared" si="15"/>
        <v>MontenegroVan - Petrol</v>
      </c>
      <c r="AD1007" s="421">
        <v>2023</v>
      </c>
      <c r="AE1007" s="421">
        <v>0.25726453825503359</v>
      </c>
      <c r="AF1007" s="421" t="s">
        <v>619</v>
      </c>
      <c r="AG1007" s="421" t="s">
        <v>506</v>
      </c>
    </row>
    <row r="1008" spans="26:33">
      <c r="Z1008" s="424" t="s">
        <v>602</v>
      </c>
      <c r="AA1008" s="421" t="s">
        <v>459</v>
      </c>
      <c r="AB1008" s="414" t="s">
        <v>599</v>
      </c>
      <c r="AC1008" s="421" t="str">
        <f t="shared" si="15"/>
        <v>MontenegroVan - Diesel</v>
      </c>
      <c r="AD1008" s="421">
        <v>2023</v>
      </c>
      <c r="AE1008" s="421">
        <v>0.28788402684563758</v>
      </c>
      <c r="AF1008" s="421" t="s">
        <v>619</v>
      </c>
      <c r="AG1008" s="421" t="s">
        <v>506</v>
      </c>
    </row>
    <row r="1009" spans="26:33">
      <c r="Z1009" s="424" t="s">
        <v>602</v>
      </c>
      <c r="AA1009" s="421" t="s">
        <v>459</v>
      </c>
      <c r="AB1009" s="414" t="s">
        <v>601</v>
      </c>
      <c r="AC1009" s="421" t="str">
        <f t="shared" si="15"/>
        <v>MontenegroVan - Electric</v>
      </c>
      <c r="AD1009" s="421">
        <v>2023</v>
      </c>
      <c r="AE1009" s="421">
        <v>8.9785241610738253E-2</v>
      </c>
      <c r="AF1009" s="421" t="s">
        <v>619</v>
      </c>
      <c r="AG1009" s="421" t="s">
        <v>506</v>
      </c>
    </row>
    <row r="1010" spans="26:33">
      <c r="Z1010" s="424" t="s">
        <v>603</v>
      </c>
      <c r="AA1010" s="421" t="s">
        <v>459</v>
      </c>
      <c r="AB1010" s="414" t="s">
        <v>595</v>
      </c>
      <c r="AC1010" s="421" t="str">
        <f t="shared" si="15"/>
        <v>NetherlandsVan - Average</v>
      </c>
      <c r="AD1010" s="421">
        <v>2023</v>
      </c>
      <c r="AE1010" s="421">
        <v>0.28694965637583891</v>
      </c>
      <c r="AF1010" s="421" t="s">
        <v>619</v>
      </c>
      <c r="AG1010" s="421" t="s">
        <v>506</v>
      </c>
    </row>
    <row r="1011" spans="26:33">
      <c r="Z1011" s="424" t="s">
        <v>603</v>
      </c>
      <c r="AA1011" s="421" t="s">
        <v>459</v>
      </c>
      <c r="AB1011" s="414" t="s">
        <v>597</v>
      </c>
      <c r="AC1011" s="421" t="str">
        <f t="shared" si="15"/>
        <v>NetherlandsVan - Petrol</v>
      </c>
      <c r="AD1011" s="421">
        <v>2023</v>
      </c>
      <c r="AE1011" s="421">
        <v>0.25726453825503359</v>
      </c>
      <c r="AF1011" s="421" t="s">
        <v>619</v>
      </c>
      <c r="AG1011" s="421" t="s">
        <v>506</v>
      </c>
    </row>
    <row r="1012" spans="26:33">
      <c r="Z1012" s="424" t="s">
        <v>603</v>
      </c>
      <c r="AA1012" s="421" t="s">
        <v>459</v>
      </c>
      <c r="AB1012" s="414" t="s">
        <v>599</v>
      </c>
      <c r="AC1012" s="421" t="str">
        <f t="shared" si="15"/>
        <v>NetherlandsVan - Diesel</v>
      </c>
      <c r="AD1012" s="421">
        <v>2023</v>
      </c>
      <c r="AE1012" s="421">
        <v>0.28788402684563758</v>
      </c>
      <c r="AF1012" s="421" t="s">
        <v>619</v>
      </c>
      <c r="AG1012" s="421" t="s">
        <v>506</v>
      </c>
    </row>
    <row r="1013" spans="26:33">
      <c r="Z1013" s="424" t="s">
        <v>603</v>
      </c>
      <c r="AA1013" s="421" t="s">
        <v>459</v>
      </c>
      <c r="AB1013" s="414" t="s">
        <v>601</v>
      </c>
      <c r="AC1013" s="421" t="str">
        <f t="shared" si="15"/>
        <v>NetherlandsVan - Electric</v>
      </c>
      <c r="AD1013" s="421">
        <v>2023</v>
      </c>
      <c r="AE1013" s="421">
        <v>8.9785241610738253E-2</v>
      </c>
      <c r="AF1013" s="421" t="s">
        <v>619</v>
      </c>
      <c r="AG1013" s="421" t="s">
        <v>506</v>
      </c>
    </row>
    <row r="1014" spans="26:33">
      <c r="Z1014" s="424" t="s">
        <v>605</v>
      </c>
      <c r="AA1014" s="421" t="s">
        <v>459</v>
      </c>
      <c r="AB1014" s="414" t="s">
        <v>595</v>
      </c>
      <c r="AC1014" s="421" t="str">
        <f t="shared" si="15"/>
        <v>North MacedoniaVan - Average</v>
      </c>
      <c r="AD1014" s="421">
        <v>2023</v>
      </c>
      <c r="AE1014" s="421">
        <v>0.28694965637583891</v>
      </c>
      <c r="AF1014" s="421" t="s">
        <v>619</v>
      </c>
      <c r="AG1014" s="421" t="s">
        <v>506</v>
      </c>
    </row>
    <row r="1015" spans="26:33">
      <c r="Z1015" s="424" t="s">
        <v>605</v>
      </c>
      <c r="AA1015" s="421" t="s">
        <v>459</v>
      </c>
      <c r="AB1015" s="414" t="s">
        <v>597</v>
      </c>
      <c r="AC1015" s="421" t="str">
        <f t="shared" si="15"/>
        <v>North MacedoniaVan - Petrol</v>
      </c>
      <c r="AD1015" s="421">
        <v>2023</v>
      </c>
      <c r="AE1015" s="421">
        <v>0.25726453825503359</v>
      </c>
      <c r="AF1015" s="421" t="s">
        <v>619</v>
      </c>
      <c r="AG1015" s="421" t="s">
        <v>506</v>
      </c>
    </row>
    <row r="1016" spans="26:33">
      <c r="Z1016" s="424" t="s">
        <v>605</v>
      </c>
      <c r="AA1016" s="421" t="s">
        <v>459</v>
      </c>
      <c r="AB1016" s="414" t="s">
        <v>599</v>
      </c>
      <c r="AC1016" s="421" t="str">
        <f t="shared" si="15"/>
        <v>North MacedoniaVan - Diesel</v>
      </c>
      <c r="AD1016" s="421">
        <v>2023</v>
      </c>
      <c r="AE1016" s="421">
        <v>0.28788402684563758</v>
      </c>
      <c r="AF1016" s="421" t="s">
        <v>619</v>
      </c>
      <c r="AG1016" s="421" t="s">
        <v>506</v>
      </c>
    </row>
    <row r="1017" spans="26:33">
      <c r="Z1017" s="424" t="s">
        <v>605</v>
      </c>
      <c r="AA1017" s="421" t="s">
        <v>459</v>
      </c>
      <c r="AB1017" s="414" t="s">
        <v>601</v>
      </c>
      <c r="AC1017" s="421" t="str">
        <f t="shared" si="15"/>
        <v>North MacedoniaVan - Electric</v>
      </c>
      <c r="AD1017" s="421">
        <v>2023</v>
      </c>
      <c r="AE1017" s="421">
        <v>8.9785241610738253E-2</v>
      </c>
      <c r="AF1017" s="421" t="s">
        <v>619</v>
      </c>
      <c r="AG1017" s="421" t="s">
        <v>506</v>
      </c>
    </row>
    <row r="1018" spans="26:33">
      <c r="Z1018" s="424" t="s">
        <v>606</v>
      </c>
      <c r="AA1018" s="421" t="s">
        <v>459</v>
      </c>
      <c r="AB1018" s="414" t="s">
        <v>595</v>
      </c>
      <c r="AC1018" s="421" t="str">
        <f t="shared" si="15"/>
        <v>NorwayVan - Average</v>
      </c>
      <c r="AD1018" s="421">
        <v>2023</v>
      </c>
      <c r="AE1018" s="421">
        <v>0.28694965637583891</v>
      </c>
      <c r="AF1018" s="421" t="s">
        <v>619</v>
      </c>
      <c r="AG1018" s="421" t="s">
        <v>506</v>
      </c>
    </row>
    <row r="1019" spans="26:33">
      <c r="Z1019" s="424" t="s">
        <v>606</v>
      </c>
      <c r="AA1019" s="421" t="s">
        <v>459</v>
      </c>
      <c r="AB1019" s="414" t="s">
        <v>597</v>
      </c>
      <c r="AC1019" s="421" t="str">
        <f t="shared" si="15"/>
        <v>NorwayVan - Petrol</v>
      </c>
      <c r="AD1019" s="421">
        <v>2023</v>
      </c>
      <c r="AE1019" s="421">
        <v>0.25726453825503359</v>
      </c>
      <c r="AF1019" s="421" t="s">
        <v>619</v>
      </c>
      <c r="AG1019" s="421" t="s">
        <v>506</v>
      </c>
    </row>
    <row r="1020" spans="26:33">
      <c r="Z1020" s="424" t="s">
        <v>606</v>
      </c>
      <c r="AA1020" s="421" t="s">
        <v>459</v>
      </c>
      <c r="AB1020" s="414" t="s">
        <v>599</v>
      </c>
      <c r="AC1020" s="421" t="str">
        <f t="shared" si="15"/>
        <v>NorwayVan - Diesel</v>
      </c>
      <c r="AD1020" s="421">
        <v>2023</v>
      </c>
      <c r="AE1020" s="421">
        <v>0.28788402684563758</v>
      </c>
      <c r="AF1020" s="421" t="s">
        <v>619</v>
      </c>
      <c r="AG1020" s="421" t="s">
        <v>506</v>
      </c>
    </row>
    <row r="1021" spans="26:33">
      <c r="Z1021" s="424" t="s">
        <v>606</v>
      </c>
      <c r="AA1021" s="421" t="s">
        <v>459</v>
      </c>
      <c r="AB1021" s="414" t="s">
        <v>601</v>
      </c>
      <c r="AC1021" s="421" t="str">
        <f t="shared" si="15"/>
        <v>NorwayVan - Electric</v>
      </c>
      <c r="AD1021" s="421">
        <v>2023</v>
      </c>
      <c r="AE1021" s="421">
        <v>8.9785241610738253E-2</v>
      </c>
      <c r="AF1021" s="421" t="s">
        <v>619</v>
      </c>
      <c r="AG1021" s="421" t="s">
        <v>506</v>
      </c>
    </row>
    <row r="1022" spans="26:33">
      <c r="Z1022" s="424" t="s">
        <v>607</v>
      </c>
      <c r="AA1022" s="421" t="s">
        <v>459</v>
      </c>
      <c r="AB1022" s="414" t="s">
        <v>595</v>
      </c>
      <c r="AC1022" s="421" t="str">
        <f t="shared" si="15"/>
        <v>PolandVan - Average</v>
      </c>
      <c r="AD1022" s="421">
        <v>2023</v>
      </c>
      <c r="AE1022" s="421">
        <v>0.28694965637583891</v>
      </c>
      <c r="AF1022" s="421" t="s">
        <v>619</v>
      </c>
      <c r="AG1022" s="421" t="s">
        <v>506</v>
      </c>
    </row>
    <row r="1023" spans="26:33">
      <c r="Z1023" s="424" t="s">
        <v>607</v>
      </c>
      <c r="AA1023" s="421" t="s">
        <v>459</v>
      </c>
      <c r="AB1023" s="414" t="s">
        <v>597</v>
      </c>
      <c r="AC1023" s="421" t="str">
        <f t="shared" si="15"/>
        <v>PolandVan - Petrol</v>
      </c>
      <c r="AD1023" s="421">
        <v>2023</v>
      </c>
      <c r="AE1023" s="421">
        <v>0.25726453825503359</v>
      </c>
      <c r="AF1023" s="421" t="s">
        <v>619</v>
      </c>
      <c r="AG1023" s="421" t="s">
        <v>506</v>
      </c>
    </row>
    <row r="1024" spans="26:33">
      <c r="Z1024" s="424" t="s">
        <v>607</v>
      </c>
      <c r="AA1024" s="421" t="s">
        <v>459</v>
      </c>
      <c r="AB1024" s="414" t="s">
        <v>599</v>
      </c>
      <c r="AC1024" s="421" t="str">
        <f t="shared" si="15"/>
        <v>PolandVan - Diesel</v>
      </c>
      <c r="AD1024" s="421">
        <v>2023</v>
      </c>
      <c r="AE1024" s="421">
        <v>0.28788402684563758</v>
      </c>
      <c r="AF1024" s="421" t="s">
        <v>619</v>
      </c>
      <c r="AG1024" s="421" t="s">
        <v>506</v>
      </c>
    </row>
    <row r="1025" spans="26:33">
      <c r="Z1025" s="424" t="s">
        <v>607</v>
      </c>
      <c r="AA1025" s="421" t="s">
        <v>459</v>
      </c>
      <c r="AB1025" s="414" t="s">
        <v>601</v>
      </c>
      <c r="AC1025" s="421" t="str">
        <f t="shared" si="15"/>
        <v>PolandVan - Electric</v>
      </c>
      <c r="AD1025" s="421">
        <v>2023</v>
      </c>
      <c r="AE1025" s="421">
        <v>8.9785241610738253E-2</v>
      </c>
      <c r="AF1025" s="421" t="s">
        <v>619</v>
      </c>
      <c r="AG1025" s="421" t="s">
        <v>506</v>
      </c>
    </row>
    <row r="1026" spans="26:33">
      <c r="Z1026" s="424" t="s">
        <v>608</v>
      </c>
      <c r="AA1026" s="421" t="s">
        <v>459</v>
      </c>
      <c r="AB1026" s="414" t="s">
        <v>595</v>
      </c>
      <c r="AC1026" s="421" t="str">
        <f t="shared" si="15"/>
        <v>PortugalVan - Average</v>
      </c>
      <c r="AD1026" s="421">
        <v>2023</v>
      </c>
      <c r="AE1026" s="421">
        <v>0.28694965637583891</v>
      </c>
      <c r="AF1026" s="421" t="s">
        <v>619</v>
      </c>
      <c r="AG1026" s="421" t="s">
        <v>506</v>
      </c>
    </row>
    <row r="1027" spans="26:33">
      <c r="Z1027" s="424" t="s">
        <v>608</v>
      </c>
      <c r="AA1027" s="421" t="s">
        <v>459</v>
      </c>
      <c r="AB1027" s="414" t="s">
        <v>597</v>
      </c>
      <c r="AC1027" s="421" t="str">
        <f t="shared" ref="AC1027:AC1090" si="16">Z1027&amp;AB1027</f>
        <v>PortugalVan - Petrol</v>
      </c>
      <c r="AD1027" s="421">
        <v>2023</v>
      </c>
      <c r="AE1027" s="421">
        <v>0.25726453825503359</v>
      </c>
      <c r="AF1027" s="421" t="s">
        <v>619</v>
      </c>
      <c r="AG1027" s="421" t="s">
        <v>506</v>
      </c>
    </row>
    <row r="1028" spans="26:33">
      <c r="Z1028" s="424" t="s">
        <v>608</v>
      </c>
      <c r="AA1028" s="421" t="s">
        <v>459</v>
      </c>
      <c r="AB1028" s="414" t="s">
        <v>599</v>
      </c>
      <c r="AC1028" s="421" t="str">
        <f t="shared" si="16"/>
        <v>PortugalVan - Diesel</v>
      </c>
      <c r="AD1028" s="421">
        <v>2023</v>
      </c>
      <c r="AE1028" s="421">
        <v>0.28788402684563758</v>
      </c>
      <c r="AF1028" s="421" t="s">
        <v>619</v>
      </c>
      <c r="AG1028" s="421" t="s">
        <v>506</v>
      </c>
    </row>
    <row r="1029" spans="26:33">
      <c r="Z1029" s="424" t="s">
        <v>608</v>
      </c>
      <c r="AA1029" s="421" t="s">
        <v>459</v>
      </c>
      <c r="AB1029" s="414" t="s">
        <v>601</v>
      </c>
      <c r="AC1029" s="421" t="str">
        <f t="shared" si="16"/>
        <v>PortugalVan - Electric</v>
      </c>
      <c r="AD1029" s="421">
        <v>2023</v>
      </c>
      <c r="AE1029" s="421">
        <v>8.9785241610738253E-2</v>
      </c>
      <c r="AF1029" s="421" t="s">
        <v>619</v>
      </c>
      <c r="AG1029" s="421" t="s">
        <v>506</v>
      </c>
    </row>
    <row r="1030" spans="26:33">
      <c r="Z1030" s="424" t="s">
        <v>609</v>
      </c>
      <c r="AA1030" s="421" t="s">
        <v>459</v>
      </c>
      <c r="AB1030" s="414" t="s">
        <v>595</v>
      </c>
      <c r="AC1030" s="421" t="str">
        <f t="shared" si="16"/>
        <v>RomaniaVan - Average</v>
      </c>
      <c r="AD1030" s="421">
        <v>2023</v>
      </c>
      <c r="AE1030" s="421">
        <v>0.28694965637583891</v>
      </c>
      <c r="AF1030" s="421" t="s">
        <v>619</v>
      </c>
      <c r="AG1030" s="421" t="s">
        <v>506</v>
      </c>
    </row>
    <row r="1031" spans="26:33">
      <c r="Z1031" s="424" t="s">
        <v>609</v>
      </c>
      <c r="AA1031" s="421" t="s">
        <v>459</v>
      </c>
      <c r="AB1031" s="414" t="s">
        <v>597</v>
      </c>
      <c r="AC1031" s="421" t="str">
        <f t="shared" si="16"/>
        <v>RomaniaVan - Petrol</v>
      </c>
      <c r="AD1031" s="421">
        <v>2023</v>
      </c>
      <c r="AE1031" s="421">
        <v>0.25726453825503359</v>
      </c>
      <c r="AF1031" s="421" t="s">
        <v>619</v>
      </c>
      <c r="AG1031" s="421" t="s">
        <v>506</v>
      </c>
    </row>
    <row r="1032" spans="26:33">
      <c r="Z1032" s="424" t="s">
        <v>609</v>
      </c>
      <c r="AA1032" s="421" t="s">
        <v>459</v>
      </c>
      <c r="AB1032" s="414" t="s">
        <v>599</v>
      </c>
      <c r="AC1032" s="421" t="str">
        <f t="shared" si="16"/>
        <v>RomaniaVan - Diesel</v>
      </c>
      <c r="AD1032" s="421">
        <v>2023</v>
      </c>
      <c r="AE1032" s="421">
        <v>0.28788402684563758</v>
      </c>
      <c r="AF1032" s="421" t="s">
        <v>619</v>
      </c>
      <c r="AG1032" s="421" t="s">
        <v>506</v>
      </c>
    </row>
    <row r="1033" spans="26:33">
      <c r="Z1033" s="424" t="s">
        <v>609</v>
      </c>
      <c r="AA1033" s="421" t="s">
        <v>459</v>
      </c>
      <c r="AB1033" s="414" t="s">
        <v>601</v>
      </c>
      <c r="AC1033" s="421" t="str">
        <f t="shared" si="16"/>
        <v>RomaniaVan - Electric</v>
      </c>
      <c r="AD1033" s="421">
        <v>2023</v>
      </c>
      <c r="AE1033" s="421">
        <v>8.9785241610738253E-2</v>
      </c>
      <c r="AF1033" s="421" t="s">
        <v>619</v>
      </c>
      <c r="AG1033" s="421" t="s">
        <v>506</v>
      </c>
    </row>
    <row r="1034" spans="26:33">
      <c r="Z1034" s="424" t="s">
        <v>610</v>
      </c>
      <c r="AA1034" s="421" t="s">
        <v>459</v>
      </c>
      <c r="AB1034" s="414" t="s">
        <v>595</v>
      </c>
      <c r="AC1034" s="421" t="str">
        <f t="shared" si="16"/>
        <v>San MarinoVan - Average</v>
      </c>
      <c r="AD1034" s="421">
        <v>2023</v>
      </c>
      <c r="AE1034" s="421">
        <v>0.28694965637583891</v>
      </c>
      <c r="AF1034" s="421" t="s">
        <v>619</v>
      </c>
      <c r="AG1034" s="421" t="s">
        <v>506</v>
      </c>
    </row>
    <row r="1035" spans="26:33">
      <c r="Z1035" s="424" t="s">
        <v>610</v>
      </c>
      <c r="AA1035" s="421" t="s">
        <v>459</v>
      </c>
      <c r="AB1035" s="414" t="s">
        <v>597</v>
      </c>
      <c r="AC1035" s="421" t="str">
        <f t="shared" si="16"/>
        <v>San MarinoVan - Petrol</v>
      </c>
      <c r="AD1035" s="421">
        <v>2023</v>
      </c>
      <c r="AE1035" s="421">
        <v>0.25726453825503359</v>
      </c>
      <c r="AF1035" s="421" t="s">
        <v>619</v>
      </c>
      <c r="AG1035" s="421" t="s">
        <v>506</v>
      </c>
    </row>
    <row r="1036" spans="26:33">
      <c r="Z1036" s="424" t="s">
        <v>610</v>
      </c>
      <c r="AA1036" s="421" t="s">
        <v>459</v>
      </c>
      <c r="AB1036" s="414" t="s">
        <v>599</v>
      </c>
      <c r="AC1036" s="421" t="str">
        <f t="shared" si="16"/>
        <v>San MarinoVan - Diesel</v>
      </c>
      <c r="AD1036" s="421">
        <v>2023</v>
      </c>
      <c r="AE1036" s="421">
        <v>0.28788402684563758</v>
      </c>
      <c r="AF1036" s="421" t="s">
        <v>619</v>
      </c>
      <c r="AG1036" s="421" t="s">
        <v>506</v>
      </c>
    </row>
    <row r="1037" spans="26:33">
      <c r="Z1037" s="424" t="s">
        <v>610</v>
      </c>
      <c r="AA1037" s="421" t="s">
        <v>459</v>
      </c>
      <c r="AB1037" s="414" t="s">
        <v>601</v>
      </c>
      <c r="AC1037" s="421" t="str">
        <f t="shared" si="16"/>
        <v>San MarinoVan - Electric</v>
      </c>
      <c r="AD1037" s="421">
        <v>2023</v>
      </c>
      <c r="AE1037" s="421">
        <v>8.9785241610738253E-2</v>
      </c>
      <c r="AF1037" s="421" t="s">
        <v>619</v>
      </c>
      <c r="AG1037" s="421" t="s">
        <v>506</v>
      </c>
    </row>
    <row r="1038" spans="26:33">
      <c r="Z1038" s="424" t="s">
        <v>611</v>
      </c>
      <c r="AA1038" s="421" t="s">
        <v>459</v>
      </c>
      <c r="AB1038" s="414" t="s">
        <v>595</v>
      </c>
      <c r="AC1038" s="421" t="str">
        <f t="shared" si="16"/>
        <v>SerbiaVan - Average</v>
      </c>
      <c r="AD1038" s="421">
        <v>2023</v>
      </c>
      <c r="AE1038" s="421">
        <v>0.28694965637583891</v>
      </c>
      <c r="AF1038" s="421" t="s">
        <v>619</v>
      </c>
      <c r="AG1038" s="421" t="s">
        <v>506</v>
      </c>
    </row>
    <row r="1039" spans="26:33">
      <c r="Z1039" s="424" t="s">
        <v>611</v>
      </c>
      <c r="AA1039" s="421" t="s">
        <v>459</v>
      </c>
      <c r="AB1039" s="414" t="s">
        <v>597</v>
      </c>
      <c r="AC1039" s="421" t="str">
        <f t="shared" si="16"/>
        <v>SerbiaVan - Petrol</v>
      </c>
      <c r="AD1039" s="421">
        <v>2023</v>
      </c>
      <c r="AE1039" s="421">
        <v>0.25726453825503359</v>
      </c>
      <c r="AF1039" s="421" t="s">
        <v>619</v>
      </c>
      <c r="AG1039" s="421" t="s">
        <v>506</v>
      </c>
    </row>
    <row r="1040" spans="26:33">
      <c r="Z1040" s="424" t="s">
        <v>611</v>
      </c>
      <c r="AA1040" s="421" t="s">
        <v>459</v>
      </c>
      <c r="AB1040" s="414" t="s">
        <v>599</v>
      </c>
      <c r="AC1040" s="421" t="str">
        <f t="shared" si="16"/>
        <v>SerbiaVan - Diesel</v>
      </c>
      <c r="AD1040" s="421">
        <v>2023</v>
      </c>
      <c r="AE1040" s="421">
        <v>0.28788402684563758</v>
      </c>
      <c r="AF1040" s="421" t="s">
        <v>619</v>
      </c>
      <c r="AG1040" s="421" t="s">
        <v>506</v>
      </c>
    </row>
    <row r="1041" spans="26:33">
      <c r="Z1041" s="424" t="s">
        <v>611</v>
      </c>
      <c r="AA1041" s="421" t="s">
        <v>459</v>
      </c>
      <c r="AB1041" s="414" t="s">
        <v>601</v>
      </c>
      <c r="AC1041" s="421" t="str">
        <f t="shared" si="16"/>
        <v>SerbiaVan - Electric</v>
      </c>
      <c r="AD1041" s="421">
        <v>2023</v>
      </c>
      <c r="AE1041" s="421">
        <v>8.9785241610738253E-2</v>
      </c>
      <c r="AF1041" s="421" t="s">
        <v>619</v>
      </c>
      <c r="AG1041" s="421" t="s">
        <v>506</v>
      </c>
    </row>
    <row r="1042" spans="26:33">
      <c r="Z1042" s="424" t="s">
        <v>612</v>
      </c>
      <c r="AA1042" s="421" t="s">
        <v>459</v>
      </c>
      <c r="AB1042" s="414" t="s">
        <v>595</v>
      </c>
      <c r="AC1042" s="421" t="str">
        <f t="shared" si="16"/>
        <v>SlovakiaVan - Average</v>
      </c>
      <c r="AD1042" s="421">
        <v>2023</v>
      </c>
      <c r="AE1042" s="421">
        <v>0.28694965637583891</v>
      </c>
      <c r="AF1042" s="421" t="s">
        <v>619</v>
      </c>
      <c r="AG1042" s="421" t="s">
        <v>506</v>
      </c>
    </row>
    <row r="1043" spans="26:33">
      <c r="Z1043" s="424" t="s">
        <v>612</v>
      </c>
      <c r="AA1043" s="421" t="s">
        <v>459</v>
      </c>
      <c r="AB1043" s="414" t="s">
        <v>597</v>
      </c>
      <c r="AC1043" s="421" t="str">
        <f t="shared" si="16"/>
        <v>SlovakiaVan - Petrol</v>
      </c>
      <c r="AD1043" s="421">
        <v>2023</v>
      </c>
      <c r="AE1043" s="421">
        <v>0.25726453825503359</v>
      </c>
      <c r="AF1043" s="421" t="s">
        <v>619</v>
      </c>
      <c r="AG1043" s="421" t="s">
        <v>506</v>
      </c>
    </row>
    <row r="1044" spans="26:33">
      <c r="Z1044" s="424" t="s">
        <v>612</v>
      </c>
      <c r="AA1044" s="421" t="s">
        <v>459</v>
      </c>
      <c r="AB1044" s="414" t="s">
        <v>599</v>
      </c>
      <c r="AC1044" s="421" t="str">
        <f t="shared" si="16"/>
        <v>SlovakiaVan - Diesel</v>
      </c>
      <c r="AD1044" s="421">
        <v>2023</v>
      </c>
      <c r="AE1044" s="421">
        <v>0.28788402684563758</v>
      </c>
      <c r="AF1044" s="421" t="s">
        <v>619</v>
      </c>
      <c r="AG1044" s="421" t="s">
        <v>506</v>
      </c>
    </row>
    <row r="1045" spans="26:33">
      <c r="Z1045" s="424" t="s">
        <v>612</v>
      </c>
      <c r="AA1045" s="421" t="s">
        <v>459</v>
      </c>
      <c r="AB1045" s="414" t="s">
        <v>601</v>
      </c>
      <c r="AC1045" s="421" t="str">
        <f t="shared" si="16"/>
        <v>SlovakiaVan - Electric</v>
      </c>
      <c r="AD1045" s="421">
        <v>2023</v>
      </c>
      <c r="AE1045" s="421">
        <v>8.9785241610738253E-2</v>
      </c>
      <c r="AF1045" s="421" t="s">
        <v>619</v>
      </c>
      <c r="AG1045" s="421" t="s">
        <v>506</v>
      </c>
    </row>
    <row r="1046" spans="26:33">
      <c r="Z1046" s="424" t="s">
        <v>613</v>
      </c>
      <c r="AA1046" s="421" t="s">
        <v>459</v>
      </c>
      <c r="AB1046" s="414" t="s">
        <v>595</v>
      </c>
      <c r="AC1046" s="421" t="str">
        <f t="shared" si="16"/>
        <v>SloveniaVan - Average</v>
      </c>
      <c r="AD1046" s="421">
        <v>2023</v>
      </c>
      <c r="AE1046" s="421">
        <v>0.28694965637583891</v>
      </c>
      <c r="AF1046" s="421" t="s">
        <v>619</v>
      </c>
      <c r="AG1046" s="421" t="s">
        <v>506</v>
      </c>
    </row>
    <row r="1047" spans="26:33">
      <c r="Z1047" s="424" t="s">
        <v>613</v>
      </c>
      <c r="AA1047" s="421" t="s">
        <v>459</v>
      </c>
      <c r="AB1047" s="414" t="s">
        <v>597</v>
      </c>
      <c r="AC1047" s="421" t="str">
        <f t="shared" si="16"/>
        <v>SloveniaVan - Petrol</v>
      </c>
      <c r="AD1047" s="421">
        <v>2023</v>
      </c>
      <c r="AE1047" s="421">
        <v>0.25726453825503359</v>
      </c>
      <c r="AF1047" s="421" t="s">
        <v>619</v>
      </c>
      <c r="AG1047" s="421" t="s">
        <v>506</v>
      </c>
    </row>
    <row r="1048" spans="26:33">
      <c r="Z1048" s="424" t="s">
        <v>613</v>
      </c>
      <c r="AA1048" s="421" t="s">
        <v>459</v>
      </c>
      <c r="AB1048" s="414" t="s">
        <v>599</v>
      </c>
      <c r="AC1048" s="421" t="str">
        <f t="shared" si="16"/>
        <v>SloveniaVan - Diesel</v>
      </c>
      <c r="AD1048" s="421">
        <v>2023</v>
      </c>
      <c r="AE1048" s="421">
        <v>0.28788402684563758</v>
      </c>
      <c r="AF1048" s="421" t="s">
        <v>619</v>
      </c>
      <c r="AG1048" s="421" t="s">
        <v>506</v>
      </c>
    </row>
    <row r="1049" spans="26:33">
      <c r="Z1049" s="424" t="s">
        <v>613</v>
      </c>
      <c r="AA1049" s="421" t="s">
        <v>459</v>
      </c>
      <c r="AB1049" s="414" t="s">
        <v>601</v>
      </c>
      <c r="AC1049" s="421" t="str">
        <f t="shared" si="16"/>
        <v>SloveniaVan - Electric</v>
      </c>
      <c r="AD1049" s="421">
        <v>2023</v>
      </c>
      <c r="AE1049" s="421">
        <v>8.9785241610738253E-2</v>
      </c>
      <c r="AF1049" s="421" t="s">
        <v>619</v>
      </c>
      <c r="AG1049" s="421" t="s">
        <v>506</v>
      </c>
    </row>
    <row r="1050" spans="26:33">
      <c r="Z1050" s="424" t="s">
        <v>614</v>
      </c>
      <c r="AA1050" s="421" t="s">
        <v>459</v>
      </c>
      <c r="AB1050" s="414" t="s">
        <v>595</v>
      </c>
      <c r="AC1050" s="421" t="str">
        <f t="shared" si="16"/>
        <v>SpainVan - Average</v>
      </c>
      <c r="AD1050" s="421">
        <v>2023</v>
      </c>
      <c r="AE1050" s="421">
        <v>0.28694965637583891</v>
      </c>
      <c r="AF1050" s="421" t="s">
        <v>619</v>
      </c>
      <c r="AG1050" s="421" t="s">
        <v>506</v>
      </c>
    </row>
    <row r="1051" spans="26:33">
      <c r="Z1051" s="424" t="s">
        <v>614</v>
      </c>
      <c r="AA1051" s="421" t="s">
        <v>459</v>
      </c>
      <c r="AB1051" s="414" t="s">
        <v>597</v>
      </c>
      <c r="AC1051" s="421" t="str">
        <f t="shared" si="16"/>
        <v>SpainVan - Petrol</v>
      </c>
      <c r="AD1051" s="421">
        <v>2023</v>
      </c>
      <c r="AE1051" s="421">
        <v>0.25726453825503359</v>
      </c>
      <c r="AF1051" s="421" t="s">
        <v>619</v>
      </c>
      <c r="AG1051" s="421" t="s">
        <v>506</v>
      </c>
    </row>
    <row r="1052" spans="26:33">
      <c r="Z1052" s="424" t="s">
        <v>614</v>
      </c>
      <c r="AA1052" s="421" t="s">
        <v>459</v>
      </c>
      <c r="AB1052" s="414" t="s">
        <v>599</v>
      </c>
      <c r="AC1052" s="421" t="str">
        <f t="shared" si="16"/>
        <v>SpainVan - Diesel</v>
      </c>
      <c r="AD1052" s="421">
        <v>2023</v>
      </c>
      <c r="AE1052" s="421">
        <v>0.28788402684563758</v>
      </c>
      <c r="AF1052" s="421" t="s">
        <v>619</v>
      </c>
      <c r="AG1052" s="421" t="s">
        <v>506</v>
      </c>
    </row>
    <row r="1053" spans="26:33">
      <c r="Z1053" s="424" t="s">
        <v>614</v>
      </c>
      <c r="AA1053" s="421" t="s">
        <v>459</v>
      </c>
      <c r="AB1053" s="414" t="s">
        <v>601</v>
      </c>
      <c r="AC1053" s="421" t="str">
        <f t="shared" si="16"/>
        <v>SpainVan - Electric</v>
      </c>
      <c r="AD1053" s="421">
        <v>2023</v>
      </c>
      <c r="AE1053" s="421">
        <v>8.9785241610738253E-2</v>
      </c>
      <c r="AF1053" s="421" t="s">
        <v>619</v>
      </c>
      <c r="AG1053" s="421" t="s">
        <v>506</v>
      </c>
    </row>
    <row r="1054" spans="26:33">
      <c r="Z1054" s="424" t="s">
        <v>615</v>
      </c>
      <c r="AA1054" s="421" t="s">
        <v>459</v>
      </c>
      <c r="AB1054" s="414" t="s">
        <v>595</v>
      </c>
      <c r="AC1054" s="421" t="str">
        <f t="shared" si="16"/>
        <v>SwedenVan - Average</v>
      </c>
      <c r="AD1054" s="421">
        <v>2023</v>
      </c>
      <c r="AE1054" s="421">
        <v>0.28694965637583891</v>
      </c>
      <c r="AF1054" s="421" t="s">
        <v>619</v>
      </c>
      <c r="AG1054" s="421" t="s">
        <v>506</v>
      </c>
    </row>
    <row r="1055" spans="26:33">
      <c r="Z1055" s="424" t="s">
        <v>615</v>
      </c>
      <c r="AA1055" s="421" t="s">
        <v>459</v>
      </c>
      <c r="AB1055" s="414" t="s">
        <v>597</v>
      </c>
      <c r="AC1055" s="421" t="str">
        <f t="shared" si="16"/>
        <v>SwedenVan - Petrol</v>
      </c>
      <c r="AD1055" s="421">
        <v>2023</v>
      </c>
      <c r="AE1055" s="421">
        <v>0.25726453825503359</v>
      </c>
      <c r="AF1055" s="421" t="s">
        <v>619</v>
      </c>
      <c r="AG1055" s="421" t="s">
        <v>506</v>
      </c>
    </row>
    <row r="1056" spans="26:33">
      <c r="Z1056" s="424" t="s">
        <v>615</v>
      </c>
      <c r="AA1056" s="421" t="s">
        <v>459</v>
      </c>
      <c r="AB1056" s="414" t="s">
        <v>599</v>
      </c>
      <c r="AC1056" s="421" t="str">
        <f t="shared" si="16"/>
        <v>SwedenVan - Diesel</v>
      </c>
      <c r="AD1056" s="421">
        <v>2023</v>
      </c>
      <c r="AE1056" s="421">
        <v>0.28788402684563758</v>
      </c>
      <c r="AF1056" s="421" t="s">
        <v>619</v>
      </c>
      <c r="AG1056" s="421" t="s">
        <v>506</v>
      </c>
    </row>
    <row r="1057" spans="26:33">
      <c r="Z1057" s="424" t="s">
        <v>615</v>
      </c>
      <c r="AA1057" s="421" t="s">
        <v>459</v>
      </c>
      <c r="AB1057" s="414" t="s">
        <v>601</v>
      </c>
      <c r="AC1057" s="421" t="str">
        <f t="shared" si="16"/>
        <v>SwedenVan - Electric</v>
      </c>
      <c r="AD1057" s="421">
        <v>2023</v>
      </c>
      <c r="AE1057" s="421">
        <v>8.9785241610738253E-2</v>
      </c>
      <c r="AF1057" s="421" t="s">
        <v>619</v>
      </c>
      <c r="AG1057" s="421" t="s">
        <v>506</v>
      </c>
    </row>
    <row r="1058" spans="26:33">
      <c r="Z1058" s="424" t="s">
        <v>616</v>
      </c>
      <c r="AA1058" s="421" t="s">
        <v>459</v>
      </c>
      <c r="AB1058" s="414" t="s">
        <v>595</v>
      </c>
      <c r="AC1058" s="421" t="str">
        <f t="shared" si="16"/>
        <v>SwitzerlandVan - Average</v>
      </c>
      <c r="AD1058" s="421">
        <v>2023</v>
      </c>
      <c r="AE1058" s="421">
        <v>0.28694965637583891</v>
      </c>
      <c r="AF1058" s="421" t="s">
        <v>619</v>
      </c>
      <c r="AG1058" s="421" t="s">
        <v>506</v>
      </c>
    </row>
    <row r="1059" spans="26:33">
      <c r="Z1059" s="424" t="s">
        <v>616</v>
      </c>
      <c r="AA1059" s="421" t="s">
        <v>459</v>
      </c>
      <c r="AB1059" s="414" t="s">
        <v>597</v>
      </c>
      <c r="AC1059" s="421" t="str">
        <f t="shared" si="16"/>
        <v>SwitzerlandVan - Petrol</v>
      </c>
      <c r="AD1059" s="421">
        <v>2023</v>
      </c>
      <c r="AE1059" s="421">
        <v>0.25726453825503359</v>
      </c>
      <c r="AF1059" s="421" t="s">
        <v>619</v>
      </c>
      <c r="AG1059" s="421" t="s">
        <v>506</v>
      </c>
    </row>
    <row r="1060" spans="26:33">
      <c r="Z1060" s="424" t="s">
        <v>616</v>
      </c>
      <c r="AA1060" s="421" t="s">
        <v>459</v>
      </c>
      <c r="AB1060" s="414" t="s">
        <v>599</v>
      </c>
      <c r="AC1060" s="421" t="str">
        <f t="shared" si="16"/>
        <v>SwitzerlandVan - Diesel</v>
      </c>
      <c r="AD1060" s="421">
        <v>2023</v>
      </c>
      <c r="AE1060" s="421">
        <v>0.28788402684563758</v>
      </c>
      <c r="AF1060" s="421" t="s">
        <v>619</v>
      </c>
      <c r="AG1060" s="421" t="s">
        <v>506</v>
      </c>
    </row>
    <row r="1061" spans="26:33">
      <c r="Z1061" s="424" t="s">
        <v>616</v>
      </c>
      <c r="AA1061" s="421" t="s">
        <v>459</v>
      </c>
      <c r="AB1061" s="414" t="s">
        <v>601</v>
      </c>
      <c r="AC1061" s="421" t="str">
        <f t="shared" si="16"/>
        <v>SwitzerlandVan - Electric</v>
      </c>
      <c r="AD1061" s="421">
        <v>2023</v>
      </c>
      <c r="AE1061" s="421">
        <v>8.9785241610738253E-2</v>
      </c>
      <c r="AF1061" s="421" t="s">
        <v>619</v>
      </c>
      <c r="AG1061" s="421" t="s">
        <v>506</v>
      </c>
    </row>
    <row r="1062" spans="26:33">
      <c r="Z1062" s="424" t="s">
        <v>617</v>
      </c>
      <c r="AA1062" s="421" t="s">
        <v>459</v>
      </c>
      <c r="AB1062" s="414" t="s">
        <v>595</v>
      </c>
      <c r="AC1062" s="421" t="str">
        <f t="shared" si="16"/>
        <v>UkraineVan - Average</v>
      </c>
      <c r="AD1062" s="421">
        <v>2023</v>
      </c>
      <c r="AE1062" s="421">
        <v>0.28694965637583891</v>
      </c>
      <c r="AF1062" s="421" t="s">
        <v>619</v>
      </c>
      <c r="AG1062" s="421" t="s">
        <v>506</v>
      </c>
    </row>
    <row r="1063" spans="26:33">
      <c r="Z1063" s="424" t="s">
        <v>617</v>
      </c>
      <c r="AA1063" s="421" t="s">
        <v>459</v>
      </c>
      <c r="AB1063" s="414" t="s">
        <v>597</v>
      </c>
      <c r="AC1063" s="421" t="str">
        <f t="shared" si="16"/>
        <v>UkraineVan - Petrol</v>
      </c>
      <c r="AD1063" s="421">
        <v>2023</v>
      </c>
      <c r="AE1063" s="421">
        <v>0.25726453825503359</v>
      </c>
      <c r="AF1063" s="421" t="s">
        <v>619</v>
      </c>
      <c r="AG1063" s="421" t="s">
        <v>506</v>
      </c>
    </row>
    <row r="1064" spans="26:33">
      <c r="Z1064" s="424" t="s">
        <v>617</v>
      </c>
      <c r="AA1064" s="421" t="s">
        <v>459</v>
      </c>
      <c r="AB1064" s="414" t="s">
        <v>599</v>
      </c>
      <c r="AC1064" s="421" t="str">
        <f t="shared" si="16"/>
        <v>UkraineVan - Diesel</v>
      </c>
      <c r="AD1064" s="421">
        <v>2023</v>
      </c>
      <c r="AE1064" s="421">
        <v>0.28788402684563758</v>
      </c>
      <c r="AF1064" s="421" t="s">
        <v>619</v>
      </c>
      <c r="AG1064" s="421" t="s">
        <v>506</v>
      </c>
    </row>
    <row r="1065" spans="26:33">
      <c r="Z1065" s="424" t="s">
        <v>617</v>
      </c>
      <c r="AA1065" s="421" t="s">
        <v>459</v>
      </c>
      <c r="AB1065" s="414" t="s">
        <v>601</v>
      </c>
      <c r="AC1065" s="421" t="str">
        <f t="shared" si="16"/>
        <v>UkraineVan - Electric</v>
      </c>
      <c r="AD1065" s="421">
        <v>2023</v>
      </c>
      <c r="AE1065" s="421">
        <v>8.9785241610738253E-2</v>
      </c>
      <c r="AF1065" s="421" t="s">
        <v>619</v>
      </c>
      <c r="AG1065" s="421" t="s">
        <v>506</v>
      </c>
    </row>
    <row r="1066" spans="26:33">
      <c r="Z1066" s="424" t="s">
        <v>618</v>
      </c>
      <c r="AA1066" s="421" t="s">
        <v>459</v>
      </c>
      <c r="AB1066" s="414" t="s">
        <v>595</v>
      </c>
      <c r="AC1066" s="421" t="str">
        <f t="shared" si="16"/>
        <v>United KingdomVan - Average</v>
      </c>
      <c r="AD1066" s="421">
        <v>2023</v>
      </c>
      <c r="AE1066" s="421">
        <v>0.28694965637583891</v>
      </c>
      <c r="AF1066" s="421" t="s">
        <v>619</v>
      </c>
      <c r="AG1066" s="421" t="s">
        <v>506</v>
      </c>
    </row>
    <row r="1067" spans="26:33">
      <c r="Z1067" s="424" t="s">
        <v>618</v>
      </c>
      <c r="AA1067" s="421" t="s">
        <v>459</v>
      </c>
      <c r="AB1067" s="414" t="s">
        <v>597</v>
      </c>
      <c r="AC1067" s="421" t="str">
        <f t="shared" si="16"/>
        <v>United KingdomVan - Petrol</v>
      </c>
      <c r="AD1067" s="421">
        <v>2023</v>
      </c>
      <c r="AE1067" s="421">
        <v>0.25726453825503359</v>
      </c>
      <c r="AF1067" s="421" t="s">
        <v>619</v>
      </c>
      <c r="AG1067" s="421" t="s">
        <v>506</v>
      </c>
    </row>
    <row r="1068" spans="26:33">
      <c r="Z1068" s="424" t="s">
        <v>618</v>
      </c>
      <c r="AA1068" s="421" t="s">
        <v>459</v>
      </c>
      <c r="AB1068" s="414" t="s">
        <v>599</v>
      </c>
      <c r="AC1068" s="421" t="str">
        <f t="shared" si="16"/>
        <v>United KingdomVan - Diesel</v>
      </c>
      <c r="AD1068" s="421">
        <v>2023</v>
      </c>
      <c r="AE1068" s="421">
        <v>0.28788402684563758</v>
      </c>
      <c r="AF1068" s="421" t="s">
        <v>619</v>
      </c>
      <c r="AG1068" s="421" t="s">
        <v>506</v>
      </c>
    </row>
    <row r="1069" spans="26:33">
      <c r="Z1069" s="424" t="s">
        <v>618</v>
      </c>
      <c r="AA1069" s="421" t="s">
        <v>459</v>
      </c>
      <c r="AB1069" s="414" t="s">
        <v>601</v>
      </c>
      <c r="AC1069" s="421" t="str">
        <f t="shared" si="16"/>
        <v>United KingdomVan - Electric</v>
      </c>
      <c r="AD1069" s="421">
        <v>2023</v>
      </c>
      <c r="AE1069" s="421">
        <v>8.9785241610738253E-2</v>
      </c>
      <c r="AF1069" s="421" t="s">
        <v>619</v>
      </c>
      <c r="AG1069" s="421" t="s">
        <v>506</v>
      </c>
    </row>
    <row r="1070" spans="26:33">
      <c r="Z1070" s="424" t="s">
        <v>492</v>
      </c>
      <c r="AA1070" s="414" t="s">
        <v>449</v>
      </c>
      <c r="AB1070" s="414" t="s">
        <v>541</v>
      </c>
      <c r="AC1070" s="421" t="str">
        <f t="shared" si="16"/>
        <v>AlbaniaCar - Electric</v>
      </c>
      <c r="AD1070" s="421">
        <v>2023</v>
      </c>
      <c r="AE1070" s="421">
        <v>6.6946441610738247E-2</v>
      </c>
      <c r="AF1070" s="421" t="s">
        <v>625</v>
      </c>
      <c r="AG1070" s="421" t="s">
        <v>506</v>
      </c>
    </row>
    <row r="1071" spans="26:33">
      <c r="Z1071" s="424" t="s">
        <v>504</v>
      </c>
      <c r="AA1071" s="414" t="s">
        <v>449</v>
      </c>
      <c r="AB1071" s="414" t="s">
        <v>541</v>
      </c>
      <c r="AC1071" s="421" t="str">
        <f t="shared" si="16"/>
        <v>AndorraCar - Electric</v>
      </c>
      <c r="AD1071" s="421">
        <v>2023</v>
      </c>
      <c r="AE1071" s="421">
        <v>6.6946441610738247E-2</v>
      </c>
      <c r="AF1071" s="421" t="s">
        <v>625</v>
      </c>
      <c r="AG1071" s="421" t="s">
        <v>506</v>
      </c>
    </row>
    <row r="1072" spans="26:33">
      <c r="Z1072" s="424" t="s">
        <v>513</v>
      </c>
      <c r="AA1072" s="414" t="s">
        <v>449</v>
      </c>
      <c r="AB1072" s="414" t="s">
        <v>541</v>
      </c>
      <c r="AC1072" s="421" t="str">
        <f t="shared" si="16"/>
        <v>AustriaCar - Electric</v>
      </c>
      <c r="AD1072" s="421">
        <v>2023</v>
      </c>
      <c r="AE1072" s="421">
        <v>6.6946441610738247E-2</v>
      </c>
      <c r="AF1072" s="421" t="s">
        <v>625</v>
      </c>
      <c r="AG1072" s="421" t="s">
        <v>506</v>
      </c>
    </row>
    <row r="1073" spans="26:33">
      <c r="Z1073" s="424" t="s">
        <v>519</v>
      </c>
      <c r="AA1073" s="414" t="s">
        <v>449</v>
      </c>
      <c r="AB1073" s="414" t="s">
        <v>541</v>
      </c>
      <c r="AC1073" s="421" t="str">
        <f t="shared" si="16"/>
        <v>BelarusCar - Electric</v>
      </c>
      <c r="AD1073" s="421">
        <v>2023</v>
      </c>
      <c r="AE1073" s="421">
        <v>6.6946441610738247E-2</v>
      </c>
      <c r="AF1073" s="421" t="s">
        <v>625</v>
      </c>
      <c r="AG1073" s="421" t="s">
        <v>506</v>
      </c>
    </row>
    <row r="1074" spans="26:33">
      <c r="Z1074" s="424" t="s">
        <v>525</v>
      </c>
      <c r="AA1074" s="414" t="s">
        <v>449</v>
      </c>
      <c r="AB1074" s="414" t="s">
        <v>541</v>
      </c>
      <c r="AC1074" s="421" t="str">
        <f t="shared" si="16"/>
        <v>BelgiumCar - Electric</v>
      </c>
      <c r="AD1074" s="421">
        <v>2023</v>
      </c>
      <c r="AE1074" s="421">
        <v>6.6946441610738247E-2</v>
      </c>
      <c r="AF1074" s="421" t="s">
        <v>625</v>
      </c>
      <c r="AG1074" s="421" t="s">
        <v>506</v>
      </c>
    </row>
    <row r="1075" spans="26:33">
      <c r="Z1075" s="424" t="s">
        <v>530</v>
      </c>
      <c r="AA1075" s="414" t="s">
        <v>449</v>
      </c>
      <c r="AB1075" s="414" t="s">
        <v>541</v>
      </c>
      <c r="AC1075" s="421" t="str">
        <f t="shared" si="16"/>
        <v>Bosnia and HerzegovinaCar - Electric</v>
      </c>
      <c r="AD1075" s="421">
        <v>2023</v>
      </c>
      <c r="AE1075" s="421">
        <v>6.6946441610738247E-2</v>
      </c>
      <c r="AF1075" s="421" t="s">
        <v>625</v>
      </c>
      <c r="AG1075" s="421" t="s">
        <v>506</v>
      </c>
    </row>
    <row r="1076" spans="26:33">
      <c r="Z1076" s="424" t="s">
        <v>534</v>
      </c>
      <c r="AA1076" s="414" t="s">
        <v>449</v>
      </c>
      <c r="AB1076" s="414" t="s">
        <v>541</v>
      </c>
      <c r="AC1076" s="421" t="str">
        <f t="shared" si="16"/>
        <v>BulgariaCar - Electric</v>
      </c>
      <c r="AD1076" s="421">
        <v>2023</v>
      </c>
      <c r="AE1076" s="421">
        <v>6.6946441610738247E-2</v>
      </c>
      <c r="AF1076" s="421" t="s">
        <v>625</v>
      </c>
      <c r="AG1076" s="421" t="s">
        <v>506</v>
      </c>
    </row>
    <row r="1077" spans="26:33">
      <c r="Z1077" s="424" t="s">
        <v>538</v>
      </c>
      <c r="AA1077" s="414" t="s">
        <v>449</v>
      </c>
      <c r="AB1077" s="414" t="s">
        <v>541</v>
      </c>
      <c r="AC1077" s="421" t="str">
        <f t="shared" si="16"/>
        <v>CroatiaCar - Electric</v>
      </c>
      <c r="AD1077" s="421">
        <v>2023</v>
      </c>
      <c r="AE1077" s="421">
        <v>6.6946441610738247E-2</v>
      </c>
      <c r="AF1077" s="421" t="s">
        <v>625</v>
      </c>
      <c r="AG1077" s="421" t="s">
        <v>506</v>
      </c>
    </row>
    <row r="1078" spans="26:33">
      <c r="Z1078" s="424" t="s">
        <v>626</v>
      </c>
      <c r="AA1078" s="414" t="s">
        <v>449</v>
      </c>
      <c r="AB1078" s="414" t="s">
        <v>541</v>
      </c>
      <c r="AC1078" s="421" t="str">
        <f t="shared" si="16"/>
        <v>CyprusCar - Electric</v>
      </c>
      <c r="AD1078" s="421">
        <v>2023</v>
      </c>
      <c r="AE1078" s="421">
        <v>6.6946441610738247E-2</v>
      </c>
      <c r="AF1078" s="421" t="s">
        <v>625</v>
      </c>
      <c r="AG1078" s="421" t="s">
        <v>506</v>
      </c>
    </row>
    <row r="1079" spans="26:33">
      <c r="Z1079" s="424" t="s">
        <v>542</v>
      </c>
      <c r="AA1079" s="414" t="s">
        <v>449</v>
      </c>
      <c r="AB1079" s="414" t="s">
        <v>541</v>
      </c>
      <c r="AC1079" s="421" t="str">
        <f t="shared" si="16"/>
        <v>CzechiaCar - Electric</v>
      </c>
      <c r="AD1079" s="421">
        <v>2023</v>
      </c>
      <c r="AE1079" s="421">
        <v>6.6946441610738247E-2</v>
      </c>
      <c r="AF1079" s="421" t="s">
        <v>625</v>
      </c>
      <c r="AG1079" s="421" t="s">
        <v>506</v>
      </c>
    </row>
    <row r="1080" spans="26:33">
      <c r="Z1080" s="424" t="s">
        <v>545</v>
      </c>
      <c r="AA1080" s="414" t="s">
        <v>449</v>
      </c>
      <c r="AB1080" s="414" t="s">
        <v>541</v>
      </c>
      <c r="AC1080" s="421" t="str">
        <f t="shared" si="16"/>
        <v>DenmarkCar - Electric</v>
      </c>
      <c r="AD1080" s="421">
        <v>2023</v>
      </c>
      <c r="AE1080" s="421">
        <v>6.6946441610738247E-2</v>
      </c>
      <c r="AF1080" s="421" t="s">
        <v>625</v>
      </c>
      <c r="AG1080" s="421" t="s">
        <v>506</v>
      </c>
    </row>
    <row r="1081" spans="26:33">
      <c r="Z1081" s="424" t="s">
        <v>550</v>
      </c>
      <c r="AA1081" s="414" t="s">
        <v>449</v>
      </c>
      <c r="AB1081" s="414" t="s">
        <v>541</v>
      </c>
      <c r="AC1081" s="421" t="str">
        <f t="shared" si="16"/>
        <v>EstoniaCar - Electric</v>
      </c>
      <c r="AD1081" s="421">
        <v>2023</v>
      </c>
      <c r="AE1081" s="421">
        <v>6.6946441610738247E-2</v>
      </c>
      <c r="AF1081" s="421" t="s">
        <v>625</v>
      </c>
      <c r="AG1081" s="421" t="s">
        <v>506</v>
      </c>
    </row>
    <row r="1082" spans="26:33">
      <c r="Z1082" s="424" t="s">
        <v>627</v>
      </c>
      <c r="AA1082" s="414" t="s">
        <v>449</v>
      </c>
      <c r="AB1082" s="414" t="s">
        <v>541</v>
      </c>
      <c r="AC1082" s="421" t="str">
        <f t="shared" si="16"/>
        <v>EU-27Car - Electric</v>
      </c>
      <c r="AD1082" s="421">
        <v>2023</v>
      </c>
      <c r="AE1082" s="421">
        <v>6.6946441610738247E-2</v>
      </c>
      <c r="AF1082" s="421" t="s">
        <v>625</v>
      </c>
      <c r="AG1082" s="421" t="s">
        <v>506</v>
      </c>
    </row>
    <row r="1083" spans="26:33">
      <c r="Z1083" s="424" t="s">
        <v>555</v>
      </c>
      <c r="AA1083" s="414" t="s">
        <v>449</v>
      </c>
      <c r="AB1083" s="414" t="s">
        <v>541</v>
      </c>
      <c r="AC1083" s="421" t="str">
        <f t="shared" si="16"/>
        <v>FinlandCar - Electric</v>
      </c>
      <c r="AD1083" s="421">
        <v>2023</v>
      </c>
      <c r="AE1083" s="421">
        <v>6.6946441610738247E-2</v>
      </c>
      <c r="AF1083" s="421" t="s">
        <v>625</v>
      </c>
      <c r="AG1083" s="421" t="s">
        <v>506</v>
      </c>
    </row>
    <row r="1084" spans="26:33">
      <c r="Z1084" s="424" t="s">
        <v>560</v>
      </c>
      <c r="AA1084" s="414" t="s">
        <v>449</v>
      </c>
      <c r="AB1084" s="414" t="s">
        <v>541</v>
      </c>
      <c r="AC1084" s="421" t="str">
        <f t="shared" si="16"/>
        <v>FranceCar - Electric</v>
      </c>
      <c r="AD1084" s="421">
        <v>2018</v>
      </c>
      <c r="AE1084" s="421">
        <v>0.10299999999999999</v>
      </c>
      <c r="AF1084" s="421" t="s">
        <v>625</v>
      </c>
      <c r="AG1084" s="414" t="s">
        <v>495</v>
      </c>
    </row>
    <row r="1085" spans="26:33">
      <c r="Z1085" s="424" t="s">
        <v>565</v>
      </c>
      <c r="AA1085" s="414" t="s">
        <v>449</v>
      </c>
      <c r="AB1085" s="414" t="s">
        <v>541</v>
      </c>
      <c r="AC1085" s="421" t="str">
        <f t="shared" si="16"/>
        <v>GermanyCar - Electric</v>
      </c>
      <c r="AD1085" s="421">
        <v>2023</v>
      </c>
      <c r="AE1085" s="421">
        <v>9.4600000000000004E-2</v>
      </c>
      <c r="AF1085" s="421" t="s">
        <v>625</v>
      </c>
      <c r="AG1085" s="421" t="s">
        <v>624</v>
      </c>
    </row>
    <row r="1086" spans="26:33">
      <c r="Z1086" s="424" t="s">
        <v>570</v>
      </c>
      <c r="AA1086" s="414" t="s">
        <v>449</v>
      </c>
      <c r="AB1086" s="414" t="s">
        <v>541</v>
      </c>
      <c r="AC1086" s="421" t="str">
        <f t="shared" si="16"/>
        <v>GreeceCar - Electric</v>
      </c>
      <c r="AD1086" s="421">
        <v>2023</v>
      </c>
      <c r="AE1086" s="421">
        <v>6.6946441610738247E-2</v>
      </c>
      <c r="AF1086" s="421" t="s">
        <v>625</v>
      </c>
      <c r="AG1086" s="421" t="s">
        <v>506</v>
      </c>
    </row>
    <row r="1087" spans="26:33">
      <c r="Z1087" s="424" t="s">
        <v>575</v>
      </c>
      <c r="AA1087" s="414" t="s">
        <v>449</v>
      </c>
      <c r="AB1087" s="414" t="s">
        <v>541</v>
      </c>
      <c r="AC1087" s="421" t="str">
        <f t="shared" si="16"/>
        <v>HungaryCar - Electric</v>
      </c>
      <c r="AD1087" s="421">
        <v>2023</v>
      </c>
      <c r="AE1087" s="421">
        <v>6.6946441610738247E-2</v>
      </c>
      <c r="AF1087" s="421" t="s">
        <v>625</v>
      </c>
      <c r="AG1087" s="421" t="s">
        <v>506</v>
      </c>
    </row>
    <row r="1088" spans="26:33">
      <c r="Z1088" s="424" t="s">
        <v>579</v>
      </c>
      <c r="AA1088" s="414" t="s">
        <v>449</v>
      </c>
      <c r="AB1088" s="414" t="s">
        <v>541</v>
      </c>
      <c r="AC1088" s="421" t="str">
        <f t="shared" si="16"/>
        <v>IcelandCar - Electric</v>
      </c>
      <c r="AD1088" s="421">
        <v>2023</v>
      </c>
      <c r="AE1088" s="421">
        <v>6.6946441610738247E-2</v>
      </c>
      <c r="AF1088" s="421" t="s">
        <v>625</v>
      </c>
      <c r="AG1088" s="421" t="s">
        <v>506</v>
      </c>
    </row>
    <row r="1089" spans="26:33">
      <c r="Z1089" s="424" t="s">
        <v>583</v>
      </c>
      <c r="AA1089" s="414" t="s">
        <v>449</v>
      </c>
      <c r="AB1089" s="414" t="s">
        <v>541</v>
      </c>
      <c r="AC1089" s="421" t="str">
        <f t="shared" si="16"/>
        <v>IrelandCar - Electric</v>
      </c>
      <c r="AD1089" s="421">
        <v>2023</v>
      </c>
      <c r="AE1089" s="421">
        <v>6.6946441610738247E-2</v>
      </c>
      <c r="AF1089" s="421" t="s">
        <v>625</v>
      </c>
      <c r="AG1089" s="421" t="s">
        <v>506</v>
      </c>
    </row>
    <row r="1090" spans="26:33">
      <c r="Z1090" s="424" t="s">
        <v>585</v>
      </c>
      <c r="AA1090" s="414" t="s">
        <v>449</v>
      </c>
      <c r="AB1090" s="414" t="s">
        <v>541</v>
      </c>
      <c r="AC1090" s="421" t="str">
        <f t="shared" si="16"/>
        <v>ItalyCar - Electric</v>
      </c>
      <c r="AD1090" s="421">
        <v>2023</v>
      </c>
      <c r="AE1090" s="421">
        <v>6.6946441610738247E-2</v>
      </c>
      <c r="AF1090" s="421" t="s">
        <v>625</v>
      </c>
      <c r="AG1090" s="421" t="s">
        <v>506</v>
      </c>
    </row>
    <row r="1091" spans="26:33">
      <c r="Z1091" s="424" t="s">
        <v>587</v>
      </c>
      <c r="AA1091" s="414" t="s">
        <v>449</v>
      </c>
      <c r="AB1091" s="414" t="s">
        <v>541</v>
      </c>
      <c r="AC1091" s="421" t="str">
        <f t="shared" ref="AC1091:AC1113" si="17">Z1091&amp;AB1091</f>
        <v>LatviaCar - Electric</v>
      </c>
      <c r="AD1091" s="421">
        <v>2023</v>
      </c>
      <c r="AE1091" s="421">
        <v>6.6946441610738247E-2</v>
      </c>
      <c r="AF1091" s="421" t="s">
        <v>625</v>
      </c>
      <c r="AG1091" s="421" t="s">
        <v>506</v>
      </c>
    </row>
    <row r="1092" spans="26:33">
      <c r="Z1092" s="424" t="s">
        <v>589</v>
      </c>
      <c r="AA1092" s="414" t="s">
        <v>449</v>
      </c>
      <c r="AB1092" s="414" t="s">
        <v>541</v>
      </c>
      <c r="AC1092" s="421" t="str">
        <f t="shared" si="17"/>
        <v>LiechtensteinCar - Electric</v>
      </c>
      <c r="AD1092" s="421">
        <v>2023</v>
      </c>
      <c r="AE1092" s="421">
        <v>6.6946441610738247E-2</v>
      </c>
      <c r="AF1092" s="421" t="s">
        <v>625</v>
      </c>
      <c r="AG1092" s="421" t="s">
        <v>506</v>
      </c>
    </row>
    <row r="1093" spans="26:33">
      <c r="Z1093" s="424" t="s">
        <v>591</v>
      </c>
      <c r="AA1093" s="414" t="s">
        <v>449</v>
      </c>
      <c r="AB1093" s="414" t="s">
        <v>541</v>
      </c>
      <c r="AC1093" s="421" t="str">
        <f t="shared" si="17"/>
        <v>LithuaniaCar - Electric</v>
      </c>
      <c r="AD1093" s="421">
        <v>2023</v>
      </c>
      <c r="AE1093" s="421">
        <v>6.6946441610738247E-2</v>
      </c>
      <c r="AF1093" s="421" t="s">
        <v>625</v>
      </c>
      <c r="AG1093" s="421" t="s">
        <v>506</v>
      </c>
    </row>
    <row r="1094" spans="26:33">
      <c r="Z1094" s="424" t="s">
        <v>594</v>
      </c>
      <c r="AA1094" s="414" t="s">
        <v>449</v>
      </c>
      <c r="AB1094" s="414" t="s">
        <v>541</v>
      </c>
      <c r="AC1094" s="421" t="str">
        <f t="shared" si="17"/>
        <v>LuxembourgCar - Electric</v>
      </c>
      <c r="AD1094" s="421">
        <v>2023</v>
      </c>
      <c r="AE1094" s="421">
        <v>6.6946441610738247E-2</v>
      </c>
      <c r="AF1094" s="421" t="s">
        <v>625</v>
      </c>
      <c r="AG1094" s="421" t="s">
        <v>506</v>
      </c>
    </row>
    <row r="1095" spans="26:33">
      <c r="Z1095" s="424" t="s">
        <v>596</v>
      </c>
      <c r="AA1095" s="414" t="s">
        <v>449</v>
      </c>
      <c r="AB1095" s="414" t="s">
        <v>541</v>
      </c>
      <c r="AC1095" s="421" t="str">
        <f t="shared" si="17"/>
        <v>MaltaCar - Electric</v>
      </c>
      <c r="AD1095" s="421">
        <v>2023</v>
      </c>
      <c r="AE1095" s="421">
        <v>6.6946441610738247E-2</v>
      </c>
      <c r="AF1095" s="421" t="s">
        <v>625</v>
      </c>
      <c r="AG1095" s="421" t="s">
        <v>506</v>
      </c>
    </row>
    <row r="1096" spans="26:33">
      <c r="Z1096" s="424" t="s">
        <v>598</v>
      </c>
      <c r="AA1096" s="414" t="s">
        <v>449</v>
      </c>
      <c r="AB1096" s="414" t="s">
        <v>541</v>
      </c>
      <c r="AC1096" s="421" t="str">
        <f t="shared" si="17"/>
        <v>MoldovaCar - Electric</v>
      </c>
      <c r="AD1096" s="421">
        <v>2023</v>
      </c>
      <c r="AE1096" s="421">
        <v>6.6946441610738247E-2</v>
      </c>
      <c r="AF1096" s="421" t="s">
        <v>625</v>
      </c>
      <c r="AG1096" s="421" t="s">
        <v>506</v>
      </c>
    </row>
    <row r="1097" spans="26:33">
      <c r="Z1097" s="424" t="s">
        <v>600</v>
      </c>
      <c r="AA1097" s="414" t="s">
        <v>449</v>
      </c>
      <c r="AB1097" s="414" t="s">
        <v>541</v>
      </c>
      <c r="AC1097" s="421" t="str">
        <f t="shared" si="17"/>
        <v>MonacoCar - Electric</v>
      </c>
      <c r="AD1097" s="421">
        <v>2023</v>
      </c>
      <c r="AE1097" s="421">
        <v>6.6946441610738247E-2</v>
      </c>
      <c r="AF1097" s="421" t="s">
        <v>625</v>
      </c>
      <c r="AG1097" s="421" t="s">
        <v>506</v>
      </c>
    </row>
    <row r="1098" spans="26:33">
      <c r="Z1098" s="424" t="s">
        <v>602</v>
      </c>
      <c r="AA1098" s="414" t="s">
        <v>449</v>
      </c>
      <c r="AB1098" s="414" t="s">
        <v>541</v>
      </c>
      <c r="AC1098" s="421" t="str">
        <f t="shared" si="17"/>
        <v>MontenegroCar - Electric</v>
      </c>
      <c r="AD1098" s="421">
        <v>2023</v>
      </c>
      <c r="AE1098" s="421">
        <v>6.6946441610738247E-2</v>
      </c>
      <c r="AF1098" s="421" t="s">
        <v>625</v>
      </c>
      <c r="AG1098" s="421" t="s">
        <v>506</v>
      </c>
    </row>
    <row r="1099" spans="26:33">
      <c r="Z1099" s="424" t="s">
        <v>603</v>
      </c>
      <c r="AA1099" s="414" t="s">
        <v>449</v>
      </c>
      <c r="AB1099" s="414" t="s">
        <v>541</v>
      </c>
      <c r="AC1099" s="421" t="str">
        <f t="shared" si="17"/>
        <v>NetherlandsCar - Electric</v>
      </c>
      <c r="AD1099" s="414">
        <v>2024</v>
      </c>
      <c r="AE1099" s="421">
        <v>6.7000000000000004E-2</v>
      </c>
      <c r="AF1099" s="421" t="s">
        <v>625</v>
      </c>
      <c r="AG1099" s="414" t="s">
        <v>604</v>
      </c>
    </row>
    <row r="1100" spans="26:33">
      <c r="Z1100" s="424" t="s">
        <v>605</v>
      </c>
      <c r="AA1100" s="414" t="s">
        <v>449</v>
      </c>
      <c r="AB1100" s="414" t="s">
        <v>541</v>
      </c>
      <c r="AC1100" s="421" t="str">
        <f t="shared" si="17"/>
        <v>North MacedoniaCar - Electric</v>
      </c>
      <c r="AD1100" s="421">
        <v>2023</v>
      </c>
      <c r="AE1100" s="421">
        <v>6.6946441610738247E-2</v>
      </c>
      <c r="AF1100" s="421" t="s">
        <v>625</v>
      </c>
      <c r="AG1100" s="421" t="s">
        <v>506</v>
      </c>
    </row>
    <row r="1101" spans="26:33">
      <c r="Z1101" s="424" t="s">
        <v>606</v>
      </c>
      <c r="AA1101" s="414" t="s">
        <v>449</v>
      </c>
      <c r="AB1101" s="414" t="s">
        <v>541</v>
      </c>
      <c r="AC1101" s="421" t="str">
        <f t="shared" si="17"/>
        <v>NorwayCar - Electric</v>
      </c>
      <c r="AD1101" s="421">
        <v>2023</v>
      </c>
      <c r="AE1101" s="421">
        <v>6.6946441610738247E-2</v>
      </c>
      <c r="AF1101" s="421" t="s">
        <v>625</v>
      </c>
      <c r="AG1101" s="421" t="s">
        <v>506</v>
      </c>
    </row>
    <row r="1102" spans="26:33">
      <c r="Z1102" s="424" t="s">
        <v>607</v>
      </c>
      <c r="AA1102" s="414" t="s">
        <v>449</v>
      </c>
      <c r="AB1102" s="414" t="s">
        <v>541</v>
      </c>
      <c r="AC1102" s="421" t="str">
        <f t="shared" si="17"/>
        <v>PolandCar - Electric</v>
      </c>
      <c r="AD1102" s="421">
        <v>2023</v>
      </c>
      <c r="AE1102" s="421">
        <v>6.6946441610738247E-2</v>
      </c>
      <c r="AF1102" s="421" t="s">
        <v>625</v>
      </c>
      <c r="AG1102" s="421" t="s">
        <v>506</v>
      </c>
    </row>
    <row r="1103" spans="26:33">
      <c r="Z1103" s="424" t="s">
        <v>608</v>
      </c>
      <c r="AA1103" s="414" t="s">
        <v>449</v>
      </c>
      <c r="AB1103" s="414" t="s">
        <v>541</v>
      </c>
      <c r="AC1103" s="421" t="str">
        <f t="shared" si="17"/>
        <v>PortugalCar - Electric</v>
      </c>
      <c r="AD1103" s="421">
        <v>2023</v>
      </c>
      <c r="AE1103" s="421">
        <v>6.6946441610738247E-2</v>
      </c>
      <c r="AF1103" s="421" t="s">
        <v>625</v>
      </c>
      <c r="AG1103" s="421" t="s">
        <v>506</v>
      </c>
    </row>
    <row r="1104" spans="26:33">
      <c r="Z1104" s="424" t="s">
        <v>609</v>
      </c>
      <c r="AA1104" s="414" t="s">
        <v>449</v>
      </c>
      <c r="AB1104" s="414" t="s">
        <v>541</v>
      </c>
      <c r="AC1104" s="421" t="str">
        <f t="shared" si="17"/>
        <v>RomaniaCar - Electric</v>
      </c>
      <c r="AD1104" s="421">
        <v>2023</v>
      </c>
      <c r="AE1104" s="421">
        <v>6.6946441610738247E-2</v>
      </c>
      <c r="AF1104" s="421" t="s">
        <v>625</v>
      </c>
      <c r="AG1104" s="421" t="s">
        <v>506</v>
      </c>
    </row>
    <row r="1105" spans="26:33">
      <c r="Z1105" s="424" t="s">
        <v>610</v>
      </c>
      <c r="AA1105" s="414" t="s">
        <v>449</v>
      </c>
      <c r="AB1105" s="414" t="s">
        <v>541</v>
      </c>
      <c r="AC1105" s="421" t="str">
        <f t="shared" si="17"/>
        <v>San MarinoCar - Electric</v>
      </c>
      <c r="AD1105" s="421">
        <v>2023</v>
      </c>
      <c r="AE1105" s="421">
        <v>6.6946441610738247E-2</v>
      </c>
      <c r="AF1105" s="421" t="s">
        <v>625</v>
      </c>
      <c r="AG1105" s="421" t="s">
        <v>506</v>
      </c>
    </row>
    <row r="1106" spans="26:33">
      <c r="Z1106" s="424" t="s">
        <v>611</v>
      </c>
      <c r="AA1106" s="414" t="s">
        <v>449</v>
      </c>
      <c r="AB1106" s="414" t="s">
        <v>541</v>
      </c>
      <c r="AC1106" s="421" t="str">
        <f t="shared" si="17"/>
        <v>SerbiaCar - Electric</v>
      </c>
      <c r="AD1106" s="421">
        <v>2023</v>
      </c>
      <c r="AE1106" s="421">
        <v>6.6946441610738247E-2</v>
      </c>
      <c r="AF1106" s="421" t="s">
        <v>625</v>
      </c>
      <c r="AG1106" s="421" t="s">
        <v>506</v>
      </c>
    </row>
    <row r="1107" spans="26:33">
      <c r="Z1107" s="424" t="s">
        <v>612</v>
      </c>
      <c r="AA1107" s="414" t="s">
        <v>449</v>
      </c>
      <c r="AB1107" s="414" t="s">
        <v>541</v>
      </c>
      <c r="AC1107" s="421" t="str">
        <f t="shared" si="17"/>
        <v>SlovakiaCar - Electric</v>
      </c>
      <c r="AD1107" s="421">
        <v>2023</v>
      </c>
      <c r="AE1107" s="421">
        <v>6.6946441610738247E-2</v>
      </c>
      <c r="AF1107" s="421" t="s">
        <v>625</v>
      </c>
      <c r="AG1107" s="421" t="s">
        <v>506</v>
      </c>
    </row>
    <row r="1108" spans="26:33">
      <c r="Z1108" s="424" t="s">
        <v>613</v>
      </c>
      <c r="AA1108" s="414" t="s">
        <v>449</v>
      </c>
      <c r="AB1108" s="414" t="s">
        <v>541</v>
      </c>
      <c r="AC1108" s="421" t="str">
        <f t="shared" si="17"/>
        <v>SloveniaCar - Electric</v>
      </c>
      <c r="AD1108" s="421">
        <v>2023</v>
      </c>
      <c r="AE1108" s="421">
        <v>6.6946441610738247E-2</v>
      </c>
      <c r="AF1108" s="421" t="s">
        <v>625</v>
      </c>
      <c r="AG1108" s="421" t="s">
        <v>506</v>
      </c>
    </row>
    <row r="1109" spans="26:33">
      <c r="Z1109" s="424" t="s">
        <v>614</v>
      </c>
      <c r="AA1109" s="414" t="s">
        <v>449</v>
      </c>
      <c r="AB1109" s="414" t="s">
        <v>541</v>
      </c>
      <c r="AC1109" s="421" t="str">
        <f t="shared" si="17"/>
        <v>SpainCar - Electric</v>
      </c>
      <c r="AD1109" s="421">
        <v>2023</v>
      </c>
      <c r="AE1109" s="421">
        <v>6.6946441610738247E-2</v>
      </c>
      <c r="AF1109" s="421" t="s">
        <v>625</v>
      </c>
      <c r="AG1109" s="421" t="s">
        <v>506</v>
      </c>
    </row>
    <row r="1110" spans="26:33">
      <c r="Z1110" s="424" t="s">
        <v>615</v>
      </c>
      <c r="AA1110" s="414" t="s">
        <v>449</v>
      </c>
      <c r="AB1110" s="414" t="s">
        <v>541</v>
      </c>
      <c r="AC1110" s="421" t="str">
        <f t="shared" si="17"/>
        <v>SwedenCar - Electric</v>
      </c>
      <c r="AD1110" s="421">
        <v>2023</v>
      </c>
      <c r="AE1110" s="421">
        <v>6.6946441610738247E-2</v>
      </c>
      <c r="AF1110" s="421" t="s">
        <v>625</v>
      </c>
      <c r="AG1110" s="421" t="s">
        <v>506</v>
      </c>
    </row>
    <row r="1111" spans="26:33">
      <c r="Z1111" s="424" t="s">
        <v>616</v>
      </c>
      <c r="AA1111" s="414" t="s">
        <v>449</v>
      </c>
      <c r="AB1111" s="414" t="s">
        <v>541</v>
      </c>
      <c r="AC1111" s="421" t="str">
        <f t="shared" si="17"/>
        <v>SwitzerlandCar - Electric</v>
      </c>
      <c r="AD1111" s="421">
        <v>2023</v>
      </c>
      <c r="AE1111" s="421">
        <v>6.6946441610738247E-2</v>
      </c>
      <c r="AF1111" s="421" t="s">
        <v>625</v>
      </c>
      <c r="AG1111" s="421" t="s">
        <v>506</v>
      </c>
    </row>
    <row r="1112" spans="26:33">
      <c r="Z1112" s="424" t="s">
        <v>617</v>
      </c>
      <c r="AA1112" s="414" t="s">
        <v>449</v>
      </c>
      <c r="AB1112" s="414" t="s">
        <v>541</v>
      </c>
      <c r="AC1112" s="421" t="str">
        <f t="shared" si="17"/>
        <v>UkraineCar - Electric</v>
      </c>
      <c r="AD1112" s="421">
        <v>2023</v>
      </c>
      <c r="AE1112" s="421">
        <v>6.6946441610738247E-2</v>
      </c>
      <c r="AF1112" s="421" t="s">
        <v>625</v>
      </c>
      <c r="AG1112" s="421" t="s">
        <v>506</v>
      </c>
    </row>
    <row r="1113" spans="26:33">
      <c r="Z1113" s="424" t="s">
        <v>618</v>
      </c>
      <c r="AA1113" s="414" t="s">
        <v>449</v>
      </c>
      <c r="AB1113" s="414" t="s">
        <v>541</v>
      </c>
      <c r="AC1113" s="421" t="str">
        <f t="shared" si="17"/>
        <v>United KingdomCar - Electric</v>
      </c>
      <c r="AD1113" s="421">
        <v>2023</v>
      </c>
      <c r="AE1113" s="421">
        <v>6.6946441610738247E-2</v>
      </c>
      <c r="AF1113" s="421" t="s">
        <v>625</v>
      </c>
      <c r="AG1113" s="421" t="s">
        <v>506</v>
      </c>
    </row>
  </sheetData>
  <hyperlinks>
    <hyperlink ref="G4" r:id="rId1" xr:uid="{402CCAA3-8D3C-42DF-90A0-B361394B3710}"/>
    <hyperlink ref="G5" r:id="rId2" xr:uid="{E6E1E8D0-0298-4232-AEEC-2A575B7D1DD3}"/>
    <hyperlink ref="G3" r:id="rId3" xr:uid="{D5B63F9C-26C1-4597-8F0E-72E521CB8E11}"/>
    <hyperlink ref="AG30" r:id="rId4" xr:uid="{0EB7BEC0-BC33-4419-9AB7-4B34F51FFC3D}"/>
    <hyperlink ref="AG6" r:id="rId5" xr:uid="{1F0FE398-2B7A-4FC7-8A0F-C427896136F0}"/>
    <hyperlink ref="AG74" r:id="rId6" xr:uid="{80E44621-E55C-4BF3-896D-C86461C50C3B}"/>
  </hyperlinks>
  <pageMargins left="0.7" right="0.7" top="0.75" bottom="0.75" header="0.3" footer="0.3"/>
  <tableParts count="9">
    <tablePart r:id="rId7"/>
    <tablePart r:id="rId8"/>
    <tablePart r:id="rId9"/>
    <tablePart r:id="rId10"/>
    <tablePart r:id="rId11"/>
    <tablePart r:id="rId12"/>
    <tablePart r:id="rId13"/>
    <tablePart r:id="rId14"/>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6D719-9851-3842-95B9-85642273B080}">
  <sheetPr>
    <tabColor theme="4" tint="0.39997558519241921"/>
  </sheetPr>
  <dimension ref="A2:M94"/>
  <sheetViews>
    <sheetView showGridLines="0" topLeftCell="A35" zoomScaleNormal="100" workbookViewId="0">
      <selection activeCell="G44" sqref="G44"/>
    </sheetView>
  </sheetViews>
  <sheetFormatPr defaultColWidth="11" defaultRowHeight="15.5"/>
  <cols>
    <col min="1" max="1" width="5.81640625" style="314" customWidth="1"/>
    <col min="2" max="2" width="30.81640625" style="314" customWidth="1"/>
    <col min="3" max="3" width="70.81640625" style="318" customWidth="1"/>
    <col min="4" max="4" width="1" style="314" customWidth="1"/>
    <col min="5" max="5" width="8.81640625" style="314" customWidth="1"/>
    <col min="6" max="6" width="1" style="314" customWidth="1"/>
    <col min="7" max="7" width="10.81640625" style="314" customWidth="1"/>
    <col min="8" max="8" width="1" style="314" customWidth="1"/>
    <col min="9" max="10" width="11" style="314"/>
    <col min="11" max="11" width="69.36328125" style="315" customWidth="1"/>
    <col min="12" max="12" width="94" style="314" customWidth="1"/>
    <col min="13" max="16384" width="11" style="314"/>
  </cols>
  <sheetData>
    <row r="2" spans="2:7" ht="46">
      <c r="B2" s="232" t="s">
        <v>417</v>
      </c>
      <c r="C2" s="104"/>
      <c r="D2" s="313"/>
      <c r="E2" s="313"/>
      <c r="F2" s="313"/>
      <c r="G2" s="313"/>
    </row>
    <row r="3" spans="2:7">
      <c r="B3" s="227"/>
      <c r="C3" s="227"/>
    </row>
    <row r="4" spans="2:7" ht="18.5">
      <c r="B4" s="268" t="s">
        <v>175</v>
      </c>
      <c r="C4" s="257">
        <f>Forestillingsnummer</f>
        <v>0</v>
      </c>
      <c r="E4" s="780" t="s">
        <v>311</v>
      </c>
      <c r="F4" s="781"/>
      <c r="G4" s="781"/>
    </row>
    <row r="5" spans="2:7" ht="18.5">
      <c r="B5" s="268" t="s">
        <v>197</v>
      </c>
      <c r="C5" s="258">
        <f>Forestillingstitel</f>
        <v>0</v>
      </c>
      <c r="E5" s="781"/>
      <c r="F5" s="781"/>
      <c r="G5" s="781"/>
    </row>
    <row r="6" spans="2:7" ht="18.5">
      <c r="B6" s="268" t="s">
        <v>198</v>
      </c>
      <c r="C6" s="259">
        <f>KUNSTART</f>
        <v>0</v>
      </c>
      <c r="E6" s="781"/>
      <c r="F6" s="781"/>
      <c r="G6" s="781"/>
    </row>
    <row r="7" spans="2:7" ht="18.5">
      <c r="B7" s="269"/>
      <c r="C7" s="230"/>
    </row>
    <row r="8" spans="2:7" ht="18.5">
      <c r="B8" s="268" t="s">
        <v>199</v>
      </c>
      <c r="C8" s="253">
        <f>_producent</f>
        <v>0</v>
      </c>
      <c r="G8" s="316"/>
    </row>
    <row r="9" spans="2:7" ht="18.5">
      <c r="B9" s="268" t="s">
        <v>200</v>
      </c>
      <c r="C9" s="254">
        <f>Director</f>
        <v>0</v>
      </c>
      <c r="G9" s="316"/>
    </row>
    <row r="10" spans="2:7" ht="18.5">
      <c r="B10" s="268" t="s">
        <v>201</v>
      </c>
      <c r="C10" s="254">
        <f>Designer</f>
        <v>0</v>
      </c>
      <c r="G10" s="316"/>
    </row>
    <row r="11" spans="2:7" ht="18.5">
      <c r="B11" s="268" t="s">
        <v>207</v>
      </c>
      <c r="C11" s="254">
        <f>Costumedesigner</f>
        <v>0</v>
      </c>
      <c r="G11" s="316"/>
    </row>
    <row r="12" spans="2:7" ht="18.5">
      <c r="B12" s="268" t="s">
        <v>202</v>
      </c>
      <c r="C12" s="255">
        <f>_produktionsleder</f>
        <v>0</v>
      </c>
      <c r="G12" s="316"/>
    </row>
    <row r="13" spans="2:7" ht="18.5">
      <c r="B13" s="268" t="s">
        <v>205</v>
      </c>
      <c r="C13" s="255">
        <f>Workshoplead</f>
        <v>0</v>
      </c>
      <c r="G13" s="316"/>
    </row>
    <row r="14" spans="2:7" ht="18.5">
      <c r="B14" s="98" t="s">
        <v>203</v>
      </c>
      <c r="C14" s="255">
        <f>_kostumier</f>
        <v>0</v>
      </c>
      <c r="G14" s="316"/>
    </row>
    <row r="15" spans="2:7" ht="18.5">
      <c r="B15" s="268" t="s">
        <v>204</v>
      </c>
      <c r="C15" s="255">
        <f>_scenemester</f>
        <v>0</v>
      </c>
      <c r="G15" s="316"/>
    </row>
    <row r="16" spans="2:7" ht="18.5">
      <c r="B16" s="98" t="s">
        <v>742</v>
      </c>
      <c r="C16" s="255">
        <f>Technical_lead</f>
        <v>0</v>
      </c>
      <c r="G16" s="316"/>
    </row>
    <row r="17" spans="1:11" ht="18.5">
      <c r="B17" s="98" t="s">
        <v>740</v>
      </c>
      <c r="C17" s="255">
        <f>Lighting_lead</f>
        <v>0</v>
      </c>
      <c r="G17" s="316"/>
    </row>
    <row r="18" spans="1:11" ht="18.5">
      <c r="B18" s="268" t="s">
        <v>741</v>
      </c>
      <c r="C18" s="256">
        <f>+Sound_lead</f>
        <v>0</v>
      </c>
      <c r="G18" s="316"/>
    </row>
    <row r="19" spans="1:11" ht="18.5">
      <c r="B19" s="270"/>
      <c r="C19" s="231"/>
    </row>
    <row r="20" spans="1:11" ht="18.5">
      <c r="B20" s="98" t="s">
        <v>206</v>
      </c>
      <c r="C20" s="260">
        <f>_sæson</f>
        <v>0</v>
      </c>
    </row>
    <row r="22" spans="1:11" ht="21">
      <c r="B22" s="111" t="s">
        <v>177</v>
      </c>
      <c r="C22" s="317">
        <f>TARGET</f>
        <v>0</v>
      </c>
    </row>
    <row r="24" spans="1:11" ht="18.5">
      <c r="B24" s="229" t="s">
        <v>427</v>
      </c>
    </row>
    <row r="26" spans="1:11" ht="25" customHeight="1">
      <c r="A26" s="319"/>
      <c r="B26" s="343" t="s">
        <v>166</v>
      </c>
      <c r="C26" s="343" t="s">
        <v>315</v>
      </c>
      <c r="E26" s="320"/>
      <c r="F26" s="321"/>
      <c r="G26" s="364" t="s">
        <v>413</v>
      </c>
      <c r="H26" s="322"/>
      <c r="K26" s="323"/>
    </row>
    <row r="27" spans="1:11" ht="5" customHeight="1" thickBot="1">
      <c r="A27" s="319"/>
      <c r="B27" s="341"/>
      <c r="C27" s="342"/>
      <c r="E27" s="322"/>
      <c r="F27" s="322"/>
      <c r="G27" s="322"/>
      <c r="H27" s="322"/>
      <c r="K27" s="323"/>
    </row>
    <row r="28" spans="1:11" s="325" customFormat="1" ht="65" customHeight="1">
      <c r="A28" s="324"/>
      <c r="B28" s="788" t="s">
        <v>422</v>
      </c>
      <c r="C28" s="789"/>
      <c r="E28" s="326"/>
      <c r="G28" s="352"/>
      <c r="K28" s="327"/>
    </row>
    <row r="29" spans="1:11" s="329" customFormat="1" ht="5" customHeight="1">
      <c r="A29" s="328"/>
      <c r="B29" s="344"/>
      <c r="C29" s="345"/>
      <c r="E29" s="102"/>
      <c r="G29" s="353"/>
      <c r="K29" s="315"/>
    </row>
    <row r="30" spans="1:11" s="329" customFormat="1" ht="65" customHeight="1" thickBot="1">
      <c r="A30" s="328"/>
      <c r="B30" s="790" t="s">
        <v>428</v>
      </c>
      <c r="C30" s="791"/>
      <c r="E30" s="330"/>
      <c r="G30" s="352"/>
      <c r="K30" s="315"/>
    </row>
    <row r="31" spans="1:11" s="329" customFormat="1" ht="5" customHeight="1">
      <c r="A31" s="328"/>
      <c r="B31" s="328"/>
      <c r="C31" s="331"/>
      <c r="G31" s="353"/>
      <c r="K31" s="315"/>
    </row>
    <row r="32" spans="1:11" s="329" customFormat="1" ht="25" customHeight="1">
      <c r="A32" s="328"/>
      <c r="B32" s="343" t="s">
        <v>167</v>
      </c>
      <c r="C32" s="343" t="s">
        <v>168</v>
      </c>
      <c r="G32" s="353"/>
      <c r="K32" s="315"/>
    </row>
    <row r="33" spans="1:11" s="329" customFormat="1" ht="5" customHeight="1">
      <c r="A33" s="328"/>
      <c r="B33" s="332"/>
      <c r="C33" s="332"/>
      <c r="G33" s="353"/>
      <c r="K33" s="315"/>
    </row>
    <row r="34" spans="1:11" s="329" customFormat="1" ht="5" customHeight="1" thickBot="1">
      <c r="A34" s="328"/>
      <c r="B34" s="332"/>
      <c r="C34" s="332"/>
      <c r="G34" s="353"/>
      <c r="K34" s="315"/>
    </row>
    <row r="35" spans="1:11" s="329" customFormat="1" ht="45" customHeight="1">
      <c r="A35" s="328"/>
      <c r="B35" s="792" t="s">
        <v>350</v>
      </c>
      <c r="C35" s="793"/>
      <c r="E35" s="330"/>
      <c r="G35" s="352"/>
      <c r="K35" s="315"/>
    </row>
    <row r="36" spans="1:11" s="329" customFormat="1" ht="5" customHeight="1">
      <c r="A36" s="328"/>
      <c r="B36" s="346"/>
      <c r="C36" s="347"/>
      <c r="E36" s="330"/>
      <c r="G36" s="353"/>
      <c r="K36" s="315"/>
    </row>
    <row r="37" spans="1:11" s="329" customFormat="1" ht="65" customHeight="1" thickBot="1">
      <c r="A37" s="328"/>
      <c r="B37" s="790" t="s">
        <v>349</v>
      </c>
      <c r="C37" s="791"/>
      <c r="E37" s="330"/>
      <c r="G37" s="352"/>
      <c r="K37" s="315"/>
    </row>
    <row r="38" spans="1:11" s="329" customFormat="1" ht="5" customHeight="1">
      <c r="A38" s="328"/>
      <c r="B38" s="332"/>
      <c r="C38" s="332"/>
      <c r="G38" s="353"/>
      <c r="K38" s="315"/>
    </row>
    <row r="39" spans="1:11" s="329" customFormat="1" ht="25" customHeight="1">
      <c r="A39" s="328"/>
      <c r="B39" s="343" t="s">
        <v>169</v>
      </c>
      <c r="C39" s="343" t="s">
        <v>170</v>
      </c>
      <c r="E39" s="333"/>
      <c r="F39" s="322"/>
      <c r="G39" s="355"/>
      <c r="K39" s="315"/>
    </row>
    <row r="40" spans="1:11" s="329" customFormat="1" ht="5" customHeight="1" thickBot="1">
      <c r="A40" s="328"/>
      <c r="B40" s="332"/>
      <c r="C40" s="332"/>
      <c r="G40" s="353"/>
      <c r="K40" s="315"/>
    </row>
    <row r="41" spans="1:11" s="329" customFormat="1" ht="40" customHeight="1" thickBot="1">
      <c r="A41" s="328"/>
      <c r="B41" s="784" t="s">
        <v>329</v>
      </c>
      <c r="C41" s="785"/>
      <c r="E41" s="334" t="s">
        <v>22</v>
      </c>
      <c r="F41" s="103"/>
      <c r="G41" s="766">
        <f>REPORT!I44</f>
        <v>0</v>
      </c>
      <c r="I41" s="310" t="s">
        <v>312</v>
      </c>
      <c r="K41" s="351" t="s">
        <v>327</v>
      </c>
    </row>
    <row r="42" spans="1:11" s="329" customFormat="1" ht="5" customHeight="1" thickBot="1">
      <c r="A42" s="328"/>
      <c r="B42" s="786"/>
      <c r="C42" s="787"/>
      <c r="E42" s="334"/>
      <c r="F42" s="103"/>
      <c r="G42" s="353"/>
      <c r="I42" s="310"/>
      <c r="K42" s="315"/>
    </row>
    <row r="43" spans="1:11" s="329" customFormat="1" ht="40" customHeight="1" thickBot="1">
      <c r="A43" s="328"/>
      <c r="B43" s="786"/>
      <c r="C43" s="787"/>
      <c r="E43" s="334" t="s">
        <v>171</v>
      </c>
      <c r="F43" s="103"/>
      <c r="G43" s="766">
        <f>REPORT!N44</f>
        <v>0</v>
      </c>
      <c r="I43" s="310" t="s">
        <v>312</v>
      </c>
      <c r="K43" s="315"/>
    </row>
    <row r="44" spans="1:11" s="329" customFormat="1" ht="5" customHeight="1" thickBot="1">
      <c r="A44" s="328"/>
      <c r="B44" s="350"/>
      <c r="C44" s="349"/>
      <c r="E44" s="102"/>
      <c r="G44" s="353"/>
      <c r="K44" s="315"/>
    </row>
    <row r="45" spans="1:11" s="329" customFormat="1" ht="60" customHeight="1" thickBot="1">
      <c r="A45" s="328"/>
      <c r="B45" s="786" t="s">
        <v>316</v>
      </c>
      <c r="C45" s="787"/>
      <c r="E45" s="330"/>
      <c r="G45" s="354"/>
      <c r="K45" s="315"/>
    </row>
    <row r="46" spans="1:11" s="329" customFormat="1" ht="5" customHeight="1">
      <c r="A46" s="328"/>
      <c r="B46" s="350"/>
      <c r="C46" s="349"/>
      <c r="E46" s="102"/>
      <c r="G46" s="353"/>
      <c r="K46" s="315"/>
    </row>
    <row r="47" spans="1:11" s="329" customFormat="1" ht="45" customHeight="1" thickBot="1">
      <c r="A47" s="328"/>
      <c r="B47" s="782" t="s">
        <v>334</v>
      </c>
      <c r="C47" s="783"/>
      <c r="E47" s="330"/>
      <c r="G47" s="352"/>
      <c r="K47" s="315"/>
    </row>
    <row r="48" spans="1:11" s="329" customFormat="1" ht="5" customHeight="1">
      <c r="A48" s="328"/>
      <c r="B48" s="335"/>
      <c r="C48" s="336"/>
      <c r="G48" s="353"/>
      <c r="K48" s="315"/>
    </row>
    <row r="49" spans="1:11" s="329" customFormat="1" ht="25" customHeight="1">
      <c r="A49" s="328"/>
      <c r="B49" s="343" t="s">
        <v>172</v>
      </c>
      <c r="C49" s="343" t="s">
        <v>337</v>
      </c>
      <c r="G49" s="353"/>
      <c r="K49" s="315"/>
    </row>
    <row r="50" spans="1:11" s="329" customFormat="1" ht="5" customHeight="1" thickBot="1">
      <c r="A50" s="328"/>
      <c r="B50" s="335"/>
      <c r="C50" s="336"/>
      <c r="G50" s="353"/>
      <c r="K50" s="315"/>
    </row>
    <row r="51" spans="1:11" s="329" customFormat="1" ht="45" customHeight="1">
      <c r="A51" s="328"/>
      <c r="B51" s="784" t="s">
        <v>338</v>
      </c>
      <c r="C51" s="785"/>
      <c r="E51" s="330"/>
      <c r="G51" s="352"/>
      <c r="K51" s="315"/>
    </row>
    <row r="52" spans="1:11" s="329" customFormat="1" ht="5" customHeight="1" thickBot="1">
      <c r="A52" s="328"/>
      <c r="B52" s="348"/>
      <c r="C52" s="349"/>
      <c r="E52" s="102"/>
      <c r="G52" s="353"/>
      <c r="K52" s="315"/>
    </row>
    <row r="53" spans="1:11" s="329" customFormat="1" ht="45" customHeight="1" thickBot="1">
      <c r="A53" s="328"/>
      <c r="B53" s="786" t="s">
        <v>723</v>
      </c>
      <c r="C53" s="787"/>
      <c r="E53" s="330"/>
      <c r="G53" s="757" t="str">
        <f>Technical!C13</f>
        <v>-</v>
      </c>
      <c r="I53" s="351" t="s">
        <v>724</v>
      </c>
      <c r="K53" s="315"/>
    </row>
    <row r="54" spans="1:11" s="329" customFormat="1" ht="5" customHeight="1">
      <c r="A54" s="328"/>
      <c r="B54" s="348"/>
      <c r="C54" s="349"/>
      <c r="E54" s="102"/>
      <c r="G54" s="353"/>
      <c r="K54" s="315"/>
    </row>
    <row r="55" spans="1:11" s="329" customFormat="1" ht="45" customHeight="1">
      <c r="A55" s="328"/>
      <c r="B55" s="786" t="s">
        <v>341</v>
      </c>
      <c r="C55" s="787"/>
      <c r="E55" s="330"/>
      <c r="G55" s="352"/>
      <c r="K55" s="315"/>
    </row>
    <row r="56" spans="1:11" s="329" customFormat="1" ht="5" customHeight="1" thickBot="1">
      <c r="A56" s="328"/>
      <c r="B56" s="348"/>
      <c r="C56" s="349"/>
      <c r="E56" s="330"/>
      <c r="G56" s="353"/>
      <c r="K56" s="315"/>
    </row>
    <row r="57" spans="1:11" s="329" customFormat="1" ht="45" customHeight="1" thickBot="1">
      <c r="A57" s="328"/>
      <c r="B57" s="782" t="s">
        <v>344</v>
      </c>
      <c r="C57" s="783"/>
      <c r="E57" s="330"/>
      <c r="G57" s="354"/>
      <c r="I57" s="351" t="s">
        <v>317</v>
      </c>
    </row>
    <row r="58" spans="1:11" s="329" customFormat="1" ht="5" customHeight="1">
      <c r="A58" s="328"/>
      <c r="B58" s="317"/>
      <c r="C58" s="317"/>
      <c r="E58" s="102"/>
      <c r="G58" s="353"/>
      <c r="K58" s="315"/>
    </row>
    <row r="59" spans="1:11" s="329" customFormat="1" ht="25" customHeight="1">
      <c r="A59" s="328"/>
      <c r="B59" s="343" t="s">
        <v>173</v>
      </c>
      <c r="C59" s="343" t="s">
        <v>174</v>
      </c>
      <c r="E59" s="102"/>
      <c r="G59" s="353"/>
      <c r="K59" s="315"/>
    </row>
    <row r="60" spans="1:11" s="329" customFormat="1" ht="5" customHeight="1" thickBot="1">
      <c r="A60" s="328"/>
      <c r="B60" s="317"/>
      <c r="C60" s="317"/>
      <c r="E60" s="102"/>
      <c r="G60" s="353"/>
      <c r="K60" s="315"/>
    </row>
    <row r="61" spans="1:11" s="329" customFormat="1" ht="45" customHeight="1" thickBot="1">
      <c r="A61" s="328"/>
      <c r="B61" s="784" t="s">
        <v>318</v>
      </c>
      <c r="C61" s="785"/>
      <c r="E61" s="330"/>
      <c r="G61" s="354"/>
      <c r="K61" s="315"/>
    </row>
    <row r="62" spans="1:11" s="329" customFormat="1" ht="5" customHeight="1" thickBot="1">
      <c r="A62" s="328"/>
      <c r="B62" s="356"/>
      <c r="C62" s="357"/>
      <c r="K62" s="315"/>
    </row>
    <row r="63" spans="1:11" s="329" customFormat="1" ht="45" customHeight="1" thickBot="1">
      <c r="A63" s="328"/>
      <c r="B63" s="782" t="s">
        <v>319</v>
      </c>
      <c r="C63" s="783"/>
      <c r="E63" s="330"/>
      <c r="G63" s="354"/>
      <c r="K63" s="315"/>
    </row>
    <row r="64" spans="1:11" s="329" customFormat="1" ht="100" customHeight="1">
      <c r="A64" s="328"/>
      <c r="B64" s="317"/>
      <c r="C64" s="317"/>
      <c r="K64" s="315"/>
    </row>
    <row r="65" spans="1:13" s="329" customFormat="1" ht="100" customHeight="1">
      <c r="A65" s="328"/>
      <c r="B65" s="317"/>
      <c r="C65" s="337"/>
      <c r="K65" s="315"/>
    </row>
    <row r="66" spans="1:13" ht="50" customHeight="1">
      <c r="C66" s="315"/>
    </row>
    <row r="67" spans="1:13" ht="66" customHeight="1">
      <c r="C67" s="315"/>
    </row>
    <row r="68" spans="1:13" ht="50" customHeight="1">
      <c r="C68" s="315"/>
    </row>
    <row r="69" spans="1:13" ht="50" customHeight="1">
      <c r="C69" s="315"/>
    </row>
    <row r="70" spans="1:13" ht="50" customHeight="1">
      <c r="C70" s="315"/>
    </row>
    <row r="71" spans="1:13" ht="50" customHeight="1">
      <c r="C71" s="315"/>
    </row>
    <row r="72" spans="1:13" ht="50" customHeight="1">
      <c r="C72" s="315"/>
    </row>
    <row r="73" spans="1:13" ht="50" customHeight="1">
      <c r="C73" s="315"/>
    </row>
    <row r="74" spans="1:13" ht="50" customHeight="1">
      <c r="C74" s="315"/>
    </row>
    <row r="75" spans="1:13" ht="50" customHeight="1">
      <c r="C75" s="315"/>
    </row>
    <row r="76" spans="1:13" ht="50" customHeight="1">
      <c r="C76" s="315"/>
      <c r="L76" s="338"/>
      <c r="M76" s="338"/>
    </row>
    <row r="77" spans="1:13" ht="50" customHeight="1">
      <c r="C77" s="315"/>
    </row>
    <row r="78" spans="1:13" ht="87" customHeight="1">
      <c r="C78" s="315"/>
    </row>
    <row r="79" spans="1:13" ht="50" customHeight="1">
      <c r="C79" s="315"/>
    </row>
    <row r="80" spans="1:13" ht="101" customHeight="1">
      <c r="C80" s="315"/>
    </row>
    <row r="81" spans="3:11" ht="72" customHeight="1">
      <c r="C81" s="315"/>
      <c r="K81" s="339"/>
    </row>
    <row r="82" spans="3:11" ht="50" customHeight="1">
      <c r="C82" s="315"/>
    </row>
    <row r="83" spans="3:11" ht="50" customHeight="1">
      <c r="C83" s="315"/>
    </row>
    <row r="84" spans="3:11" ht="70" customHeight="1">
      <c r="C84" s="315"/>
    </row>
    <row r="85" spans="3:11" ht="50" customHeight="1"/>
    <row r="87" spans="3:11">
      <c r="C87" s="228"/>
    </row>
    <row r="88" spans="3:11" ht="75" customHeight="1"/>
    <row r="89" spans="3:11" ht="50" customHeight="1">
      <c r="C89" s="228"/>
    </row>
    <row r="90" spans="3:11" s="340" customFormat="1" ht="50" customHeight="1">
      <c r="K90" s="339"/>
    </row>
    <row r="91" spans="3:11" s="340" customFormat="1" ht="50" customHeight="1">
      <c r="C91" s="318"/>
      <c r="K91" s="339"/>
    </row>
    <row r="93" spans="3:11" ht="50" customHeight="1">
      <c r="C93" s="228"/>
    </row>
    <row r="94" spans="3:11" ht="50" customHeight="1"/>
  </sheetData>
  <mergeCells count="14">
    <mergeCell ref="B63:C63"/>
    <mergeCell ref="B57:C57"/>
    <mergeCell ref="B61:C61"/>
    <mergeCell ref="B28:C28"/>
    <mergeCell ref="B30:C30"/>
    <mergeCell ref="B35:C35"/>
    <mergeCell ref="B37:C37"/>
    <mergeCell ref="B41:C43"/>
    <mergeCell ref="B45:C45"/>
    <mergeCell ref="E4:G6"/>
    <mergeCell ref="B47:C47"/>
    <mergeCell ref="B51:C51"/>
    <mergeCell ref="B53:C53"/>
    <mergeCell ref="B55:C55"/>
  </mergeCells>
  <dataValidations count="2">
    <dataValidation type="list" allowBlank="1" showInputMessage="1" showErrorMessage="1" sqref="G63 G45 G57 G61 G28 G35 G37 G47 G51 G30 G55" xr:uid="{55B8E3C8-0C4F-4944-A01C-F014D902105C}">
      <formula1>"√, NO, N/A"</formula1>
    </dataValidation>
    <dataValidation showDropDown="1" showInputMessage="1" showErrorMessage="1" sqref="G53" xr:uid="{65EA8648-48D5-BF4E-B8EB-0512C5A2693F}"/>
  </dataValidations>
  <pageMargins left="0.7" right="0.7" top="0.75" bottom="0.75" header="0.3" footer="0.3"/>
  <pageSetup paperSize="9" scale="6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0558-B2AB-D042-A0B8-FBFE2176D7A0}">
  <sheetPr>
    <tabColor theme="7" tint="0.39997558519241921"/>
  </sheetPr>
  <dimension ref="A2:M94"/>
  <sheetViews>
    <sheetView showGridLines="0" topLeftCell="A24" zoomScaleNormal="100" workbookViewId="0">
      <selection activeCell="G44" sqref="G44"/>
    </sheetView>
  </sheetViews>
  <sheetFormatPr defaultColWidth="11" defaultRowHeight="15.5"/>
  <cols>
    <col min="1" max="1" width="5.81640625" style="314" customWidth="1"/>
    <col min="2" max="2" width="30.81640625" style="314" customWidth="1"/>
    <col min="3" max="3" width="70.81640625" style="318" customWidth="1"/>
    <col min="4" max="4" width="1" style="314" customWidth="1"/>
    <col min="5" max="5" width="8.81640625" style="314" customWidth="1"/>
    <col min="6" max="6" width="1" style="314" customWidth="1"/>
    <col min="7" max="7" width="10.81640625" style="314" customWidth="1"/>
    <col min="8" max="8" width="1" style="314" customWidth="1"/>
    <col min="9" max="10" width="11" style="314"/>
    <col min="11" max="11" width="69.36328125" style="315" customWidth="1"/>
    <col min="12" max="12" width="94" style="314" customWidth="1"/>
    <col min="13" max="16384" width="11" style="314"/>
  </cols>
  <sheetData>
    <row r="2" spans="2:7" ht="46">
      <c r="B2" s="233" t="s">
        <v>208</v>
      </c>
      <c r="C2" s="108"/>
      <c r="D2" s="358"/>
      <c r="E2" s="358"/>
      <c r="F2" s="358"/>
      <c r="G2" s="358"/>
    </row>
    <row r="3" spans="2:7">
      <c r="B3" s="227"/>
      <c r="C3" s="227"/>
    </row>
    <row r="4" spans="2:7" ht="19" customHeight="1">
      <c r="B4" s="268" t="s">
        <v>175</v>
      </c>
      <c r="C4" s="261">
        <f>Forestillingsnummer</f>
        <v>0</v>
      </c>
      <c r="E4" s="780" t="s">
        <v>311</v>
      </c>
      <c r="F4" s="781"/>
      <c r="G4" s="781"/>
    </row>
    <row r="5" spans="2:7" ht="18.5">
      <c r="B5" s="268" t="s">
        <v>197</v>
      </c>
      <c r="C5" s="262">
        <f>Forestillingstitel</f>
        <v>0</v>
      </c>
      <c r="E5" s="781"/>
      <c r="F5" s="781"/>
      <c r="G5" s="781"/>
    </row>
    <row r="6" spans="2:7" ht="18.5">
      <c r="B6" s="268" t="s">
        <v>198</v>
      </c>
      <c r="C6" s="263">
        <f>KUNSTART</f>
        <v>0</v>
      </c>
      <c r="E6" s="781"/>
      <c r="F6" s="781"/>
      <c r="G6" s="781"/>
    </row>
    <row r="7" spans="2:7" ht="18.5">
      <c r="B7" s="269"/>
      <c r="C7" s="230"/>
    </row>
    <row r="8" spans="2:7" ht="18.5">
      <c r="B8" s="268" t="s">
        <v>199</v>
      </c>
      <c r="C8" s="253">
        <f>_producent</f>
        <v>0</v>
      </c>
      <c r="G8" s="316"/>
    </row>
    <row r="9" spans="2:7" ht="18.5">
      <c r="B9" s="268" t="s">
        <v>200</v>
      </c>
      <c r="C9" s="254">
        <f>Director</f>
        <v>0</v>
      </c>
      <c r="G9" s="316"/>
    </row>
    <row r="10" spans="2:7" ht="18.5">
      <c r="B10" s="268" t="s">
        <v>201</v>
      </c>
      <c r="C10" s="254">
        <f>Designer</f>
        <v>0</v>
      </c>
      <c r="G10" s="316"/>
    </row>
    <row r="11" spans="2:7" ht="18.5">
      <c r="B11" s="268" t="s">
        <v>207</v>
      </c>
      <c r="C11" s="254">
        <f>Costumedesigner</f>
        <v>0</v>
      </c>
      <c r="G11" s="316"/>
    </row>
    <row r="12" spans="2:7" ht="18.5">
      <c r="B12" s="268" t="s">
        <v>202</v>
      </c>
      <c r="C12" s="255">
        <f>_produktionsleder</f>
        <v>0</v>
      </c>
      <c r="G12" s="316"/>
    </row>
    <row r="13" spans="2:7" ht="18.5">
      <c r="B13" s="268" t="s">
        <v>205</v>
      </c>
      <c r="C13" s="255">
        <f>Workshoplead</f>
        <v>0</v>
      </c>
      <c r="G13" s="316"/>
    </row>
    <row r="14" spans="2:7" ht="18.5">
      <c r="B14" s="98" t="s">
        <v>203</v>
      </c>
      <c r="C14" s="255">
        <f>_kostumier</f>
        <v>0</v>
      </c>
      <c r="G14" s="316"/>
    </row>
    <row r="15" spans="2:7" ht="18.5">
      <c r="B15" s="98" t="s">
        <v>204</v>
      </c>
      <c r="C15" s="255">
        <f>_scenemester</f>
        <v>0</v>
      </c>
      <c r="G15" s="316"/>
    </row>
    <row r="16" spans="2:7" ht="18.5">
      <c r="B16" s="98" t="s">
        <v>742</v>
      </c>
      <c r="C16" s="255">
        <f>Technical_lead</f>
        <v>0</v>
      </c>
      <c r="G16" s="316"/>
    </row>
    <row r="17" spans="1:11" ht="18.5">
      <c r="B17" s="98" t="s">
        <v>740</v>
      </c>
      <c r="C17" s="255">
        <f>Lighting_lead</f>
        <v>0</v>
      </c>
      <c r="G17" s="316"/>
    </row>
    <row r="18" spans="1:11" ht="18.5">
      <c r="B18" s="268" t="s">
        <v>741</v>
      </c>
      <c r="C18" s="256">
        <f>Sound_lead</f>
        <v>0</v>
      </c>
      <c r="G18" s="316"/>
    </row>
    <row r="19" spans="1:11" ht="18.5">
      <c r="B19" s="270"/>
      <c r="C19" s="231"/>
    </row>
    <row r="20" spans="1:11" ht="18.5">
      <c r="B20" s="98" t="s">
        <v>206</v>
      </c>
      <c r="C20" s="264">
        <f>_sæson</f>
        <v>0</v>
      </c>
    </row>
    <row r="21" spans="1:11" ht="21">
      <c r="B21" s="100"/>
      <c r="C21" s="107"/>
    </row>
    <row r="22" spans="1:11" ht="21">
      <c r="B22" s="111" t="s">
        <v>177</v>
      </c>
      <c r="C22" s="317">
        <f>TARGET</f>
        <v>0</v>
      </c>
    </row>
    <row r="24" spans="1:11" ht="18.5">
      <c r="B24" s="229" t="s">
        <v>320</v>
      </c>
    </row>
    <row r="26" spans="1:11" ht="25" customHeight="1">
      <c r="A26" s="319"/>
      <c r="B26" s="343" t="s">
        <v>166</v>
      </c>
      <c r="C26" s="343" t="s">
        <v>315</v>
      </c>
      <c r="E26" s="320"/>
      <c r="F26" s="321"/>
      <c r="G26" s="364" t="s">
        <v>413</v>
      </c>
      <c r="H26" s="322"/>
      <c r="K26" s="323"/>
    </row>
    <row r="27" spans="1:11" ht="5" customHeight="1" thickBot="1">
      <c r="A27" s="319"/>
      <c r="B27" s="319"/>
      <c r="C27" s="322"/>
      <c r="E27" s="322"/>
      <c r="F27" s="322"/>
      <c r="G27" s="322"/>
      <c r="H27" s="322"/>
      <c r="K27" s="323"/>
    </row>
    <row r="28" spans="1:11" s="325" customFormat="1" ht="65" customHeight="1">
      <c r="A28" s="324"/>
      <c r="B28" s="788" t="s">
        <v>321</v>
      </c>
      <c r="C28" s="789"/>
      <c r="E28" s="326"/>
      <c r="G28" s="352"/>
      <c r="K28" s="327"/>
    </row>
    <row r="29" spans="1:11" s="329" customFormat="1" ht="5" customHeight="1" thickBot="1">
      <c r="A29" s="328"/>
      <c r="B29" s="362"/>
      <c r="C29" s="347"/>
      <c r="E29" s="102"/>
      <c r="G29" s="353"/>
      <c r="K29" s="315"/>
    </row>
    <row r="30" spans="1:11" s="329" customFormat="1" ht="65" customHeight="1" thickBot="1">
      <c r="A30" s="328"/>
      <c r="B30" s="790" t="s">
        <v>347</v>
      </c>
      <c r="C30" s="791"/>
      <c r="E30" s="359"/>
      <c r="F30" s="103"/>
      <c r="G30" s="363"/>
      <c r="K30" s="315"/>
    </row>
    <row r="31" spans="1:11" s="329" customFormat="1" ht="5" customHeight="1">
      <c r="A31" s="328"/>
      <c r="B31" s="328"/>
      <c r="C31" s="331"/>
      <c r="E31" s="103"/>
      <c r="F31" s="103"/>
      <c r="G31" s="309"/>
      <c r="K31" s="315"/>
    </row>
    <row r="32" spans="1:11" s="329" customFormat="1" ht="25" customHeight="1">
      <c r="A32" s="328"/>
      <c r="B32" s="343" t="s">
        <v>167</v>
      </c>
      <c r="C32" s="343" t="s">
        <v>168</v>
      </c>
      <c r="E32" s="103"/>
      <c r="F32" s="103"/>
      <c r="G32" s="309"/>
      <c r="K32" s="315"/>
    </row>
    <row r="33" spans="1:11" s="329" customFormat="1" ht="5" customHeight="1">
      <c r="A33" s="328"/>
      <c r="B33" s="332"/>
      <c r="C33" s="332"/>
      <c r="E33" s="103"/>
      <c r="F33" s="103"/>
      <c r="G33" s="309"/>
      <c r="K33" s="315"/>
    </row>
    <row r="34" spans="1:11" s="329" customFormat="1" ht="5" customHeight="1" thickBot="1">
      <c r="A34" s="328"/>
      <c r="B34" s="332"/>
      <c r="C34" s="332"/>
      <c r="E34" s="103"/>
      <c r="F34" s="103"/>
      <c r="G34" s="309"/>
      <c r="K34" s="315"/>
    </row>
    <row r="35" spans="1:11" s="329" customFormat="1" ht="45" customHeight="1">
      <c r="A35" s="328"/>
      <c r="B35" s="792" t="s">
        <v>323</v>
      </c>
      <c r="C35" s="793"/>
      <c r="E35" s="359"/>
      <c r="F35" s="103"/>
      <c r="G35" s="352"/>
      <c r="K35" s="315"/>
    </row>
    <row r="36" spans="1:11" s="329" customFormat="1" ht="5" customHeight="1">
      <c r="A36" s="328"/>
      <c r="B36" s="346"/>
      <c r="C36" s="347"/>
      <c r="E36" s="359"/>
      <c r="F36" s="103"/>
      <c r="G36" s="309"/>
      <c r="K36" s="315"/>
    </row>
    <row r="37" spans="1:11" s="329" customFormat="1" ht="65" customHeight="1" thickBot="1">
      <c r="A37" s="328"/>
      <c r="B37" s="790" t="s">
        <v>348</v>
      </c>
      <c r="C37" s="791"/>
      <c r="E37" s="359"/>
      <c r="F37" s="103"/>
      <c r="G37" s="352"/>
      <c r="K37" s="351" t="s">
        <v>317</v>
      </c>
    </row>
    <row r="38" spans="1:11" s="329" customFormat="1" ht="5" customHeight="1">
      <c r="A38" s="328"/>
      <c r="B38" s="332"/>
      <c r="C38" s="332"/>
      <c r="E38" s="103"/>
      <c r="F38" s="103"/>
      <c r="G38" s="309"/>
      <c r="K38" s="315"/>
    </row>
    <row r="39" spans="1:11" s="329" customFormat="1" ht="25" customHeight="1">
      <c r="A39" s="328"/>
      <c r="B39" s="343" t="s">
        <v>169</v>
      </c>
      <c r="C39" s="343" t="s">
        <v>170</v>
      </c>
      <c r="E39" s="360"/>
      <c r="F39" s="361"/>
      <c r="G39" s="308"/>
      <c r="K39" s="315"/>
    </row>
    <row r="40" spans="1:11" s="329" customFormat="1" ht="5" customHeight="1" thickBot="1">
      <c r="A40" s="328"/>
      <c r="B40" s="332"/>
      <c r="C40" s="332"/>
      <c r="E40" s="103"/>
      <c r="F40" s="103"/>
      <c r="G40" s="309"/>
      <c r="K40" s="315"/>
    </row>
    <row r="41" spans="1:11" s="329" customFormat="1" ht="40" customHeight="1" thickBot="1">
      <c r="A41" s="328"/>
      <c r="B41" s="784" t="s">
        <v>333</v>
      </c>
      <c r="C41" s="785"/>
      <c r="E41" s="334" t="s">
        <v>22</v>
      </c>
      <c r="F41" s="103"/>
      <c r="G41" s="767">
        <f>REPORT!I44</f>
        <v>0</v>
      </c>
      <c r="I41" s="310" t="s">
        <v>312</v>
      </c>
      <c r="K41" s="351" t="s">
        <v>327</v>
      </c>
    </row>
    <row r="42" spans="1:11" s="329" customFormat="1" ht="5" customHeight="1" thickBot="1">
      <c r="A42" s="328"/>
      <c r="B42" s="786"/>
      <c r="C42" s="787"/>
      <c r="E42" s="334"/>
      <c r="F42" s="103"/>
      <c r="G42" s="353"/>
      <c r="I42" s="310"/>
      <c r="K42" s="315"/>
    </row>
    <row r="43" spans="1:11" s="329" customFormat="1" ht="40" customHeight="1" thickBot="1">
      <c r="A43" s="328"/>
      <c r="B43" s="786"/>
      <c r="C43" s="787"/>
      <c r="E43" s="334" t="s">
        <v>171</v>
      </c>
      <c r="F43" s="103"/>
      <c r="G43" s="767">
        <f>REPORT!N44</f>
        <v>0</v>
      </c>
      <c r="I43" s="310" t="s">
        <v>312</v>
      </c>
      <c r="K43" s="315"/>
    </row>
    <row r="44" spans="1:11" s="329" customFormat="1" ht="5" customHeight="1" thickBot="1">
      <c r="A44" s="328"/>
      <c r="B44" s="350"/>
      <c r="C44" s="349"/>
      <c r="E44" s="102"/>
      <c r="G44" s="309"/>
      <c r="K44" s="315"/>
    </row>
    <row r="45" spans="1:11" s="329" customFormat="1" ht="60" customHeight="1" thickBot="1">
      <c r="A45" s="328"/>
      <c r="B45" s="786" t="s">
        <v>330</v>
      </c>
      <c r="C45" s="787"/>
      <c r="E45" s="330"/>
      <c r="G45" s="363"/>
      <c r="K45" s="315"/>
    </row>
    <row r="46" spans="1:11" s="329" customFormat="1" ht="5" customHeight="1">
      <c r="A46" s="328"/>
      <c r="B46" s="350"/>
      <c r="C46" s="349"/>
      <c r="E46" s="102"/>
      <c r="G46" s="309"/>
      <c r="K46" s="315"/>
    </row>
    <row r="47" spans="1:11" s="329" customFormat="1" ht="45" customHeight="1" thickBot="1">
      <c r="A47" s="328"/>
      <c r="B47" s="782" t="s">
        <v>335</v>
      </c>
      <c r="C47" s="783"/>
      <c r="E47" s="330"/>
      <c r="G47" s="352"/>
      <c r="K47" s="315"/>
    </row>
    <row r="48" spans="1:11" s="329" customFormat="1" ht="5" customHeight="1">
      <c r="A48" s="328"/>
      <c r="B48" s="335"/>
      <c r="C48" s="336"/>
      <c r="G48" s="309"/>
      <c r="K48" s="315"/>
    </row>
    <row r="49" spans="1:11" s="329" customFormat="1" ht="25" customHeight="1">
      <c r="A49" s="328"/>
      <c r="B49" s="343" t="s">
        <v>172</v>
      </c>
      <c r="C49" s="343" t="s">
        <v>337</v>
      </c>
      <c r="G49" s="309"/>
      <c r="K49" s="315"/>
    </row>
    <row r="50" spans="1:11" s="329" customFormat="1" ht="5" customHeight="1" thickBot="1">
      <c r="A50" s="328"/>
      <c r="B50" s="335"/>
      <c r="C50" s="336"/>
      <c r="G50" s="309"/>
      <c r="K50" s="315"/>
    </row>
    <row r="51" spans="1:11" s="329" customFormat="1" ht="45" customHeight="1">
      <c r="A51" s="328"/>
      <c r="B51" s="784" t="s">
        <v>339</v>
      </c>
      <c r="C51" s="785"/>
      <c r="E51" s="330"/>
      <c r="G51" s="352"/>
      <c r="K51" s="315"/>
    </row>
    <row r="52" spans="1:11" s="329" customFormat="1" ht="5" customHeight="1" thickBot="1">
      <c r="A52" s="328"/>
      <c r="B52" s="348"/>
      <c r="C52" s="349"/>
      <c r="E52" s="102"/>
      <c r="G52" s="309"/>
      <c r="K52" s="315"/>
    </row>
    <row r="53" spans="1:11" s="329" customFormat="1" ht="45" customHeight="1" thickBot="1">
      <c r="A53" s="328"/>
      <c r="B53" s="786" t="s">
        <v>722</v>
      </c>
      <c r="C53" s="787"/>
      <c r="E53" s="330"/>
      <c r="G53" s="758" t="str">
        <f>Technical!F13</f>
        <v>-</v>
      </c>
      <c r="I53" s="351" t="s">
        <v>724</v>
      </c>
      <c r="K53" s="315"/>
    </row>
    <row r="54" spans="1:11" s="329" customFormat="1" ht="5" customHeight="1">
      <c r="A54" s="328"/>
      <c r="B54" s="348"/>
      <c r="C54" s="349"/>
      <c r="E54" s="102"/>
      <c r="G54" s="309"/>
      <c r="K54" s="315"/>
    </row>
    <row r="55" spans="1:11" s="329" customFormat="1" ht="45" customHeight="1">
      <c r="A55" s="328"/>
      <c r="B55" s="786" t="s">
        <v>342</v>
      </c>
      <c r="C55" s="787"/>
      <c r="E55" s="330"/>
      <c r="G55" s="352"/>
      <c r="K55" s="315"/>
    </row>
    <row r="56" spans="1:11" s="329" customFormat="1" ht="5" customHeight="1" thickBot="1">
      <c r="A56" s="328"/>
      <c r="B56" s="348"/>
      <c r="C56" s="349"/>
      <c r="E56" s="330"/>
      <c r="G56" s="309"/>
      <c r="K56" s="315"/>
    </row>
    <row r="57" spans="1:11" s="329" customFormat="1" ht="45" customHeight="1" thickBot="1">
      <c r="A57" s="328"/>
      <c r="B57" s="782" t="s">
        <v>345</v>
      </c>
      <c r="C57" s="783"/>
      <c r="E57" s="330"/>
      <c r="G57" s="363"/>
      <c r="I57" s="351" t="s">
        <v>317</v>
      </c>
      <c r="K57" s="315"/>
    </row>
    <row r="58" spans="1:11" s="329" customFormat="1" ht="5" customHeight="1">
      <c r="A58" s="328"/>
      <c r="B58" s="317"/>
      <c r="C58" s="317"/>
      <c r="E58" s="102"/>
      <c r="G58" s="309"/>
      <c r="K58" s="315"/>
    </row>
    <row r="59" spans="1:11" s="329" customFormat="1" ht="25" customHeight="1">
      <c r="A59" s="328"/>
      <c r="B59" s="343" t="s">
        <v>173</v>
      </c>
      <c r="C59" s="343" t="s">
        <v>174</v>
      </c>
      <c r="E59" s="102"/>
      <c r="G59" s="309"/>
      <c r="K59" s="315"/>
    </row>
    <row r="60" spans="1:11" s="329" customFormat="1" ht="5" customHeight="1" thickBot="1">
      <c r="A60" s="328"/>
      <c r="B60" s="317"/>
      <c r="C60" s="317"/>
      <c r="E60" s="102"/>
      <c r="G60" s="309"/>
      <c r="K60" s="315"/>
    </row>
    <row r="61" spans="1:11" s="329" customFormat="1" ht="45" customHeight="1" thickBot="1">
      <c r="A61" s="328"/>
      <c r="B61" s="784" t="s">
        <v>414</v>
      </c>
      <c r="C61" s="785"/>
      <c r="E61" s="330"/>
      <c r="G61" s="363"/>
      <c r="K61" s="315"/>
    </row>
    <row r="62" spans="1:11" s="329" customFormat="1" ht="5" customHeight="1" thickBot="1">
      <c r="A62" s="328"/>
      <c r="B62" s="356"/>
      <c r="C62" s="357"/>
      <c r="K62" s="315"/>
    </row>
    <row r="63" spans="1:11" s="329" customFormat="1" ht="45" customHeight="1" thickBot="1">
      <c r="A63" s="328"/>
      <c r="B63" s="782" t="s">
        <v>319</v>
      </c>
      <c r="C63" s="783"/>
      <c r="E63" s="330"/>
      <c r="G63" s="363"/>
      <c r="K63" s="315"/>
    </row>
    <row r="64" spans="1:11" s="329" customFormat="1" ht="100" customHeight="1">
      <c r="A64" s="328"/>
      <c r="B64" s="317"/>
      <c r="C64" s="331"/>
      <c r="K64" s="315"/>
    </row>
    <row r="65" spans="1:13" s="329" customFormat="1" ht="100" customHeight="1">
      <c r="A65" s="328"/>
      <c r="B65" s="317"/>
      <c r="C65" s="337"/>
      <c r="K65" s="315"/>
    </row>
    <row r="66" spans="1:13" ht="50" customHeight="1">
      <c r="C66" s="315"/>
    </row>
    <row r="67" spans="1:13" ht="66" customHeight="1">
      <c r="C67" s="315"/>
    </row>
    <row r="68" spans="1:13" ht="50" customHeight="1">
      <c r="C68" s="315"/>
    </row>
    <row r="69" spans="1:13" ht="50" customHeight="1">
      <c r="C69" s="315"/>
    </row>
    <row r="70" spans="1:13" ht="50" customHeight="1">
      <c r="C70" s="315"/>
    </row>
    <row r="71" spans="1:13" ht="50" customHeight="1">
      <c r="C71" s="315"/>
    </row>
    <row r="72" spans="1:13" ht="50" customHeight="1">
      <c r="C72" s="315"/>
    </row>
    <row r="73" spans="1:13" ht="50" customHeight="1">
      <c r="C73" s="315"/>
    </row>
    <row r="74" spans="1:13" ht="50" customHeight="1">
      <c r="C74" s="315"/>
    </row>
    <row r="75" spans="1:13" ht="50" customHeight="1">
      <c r="C75" s="315"/>
    </row>
    <row r="76" spans="1:13" ht="50" customHeight="1">
      <c r="C76" s="315"/>
      <c r="L76" s="338"/>
      <c r="M76" s="338"/>
    </row>
    <row r="77" spans="1:13" ht="50" customHeight="1">
      <c r="C77" s="315"/>
    </row>
    <row r="78" spans="1:13" ht="87" customHeight="1">
      <c r="C78" s="315"/>
    </row>
    <row r="79" spans="1:13" ht="50" customHeight="1">
      <c r="C79" s="315"/>
    </row>
    <row r="80" spans="1:13" ht="101" customHeight="1">
      <c r="C80" s="315"/>
    </row>
    <row r="81" spans="3:11" ht="72" customHeight="1">
      <c r="C81" s="315"/>
      <c r="K81" s="339"/>
    </row>
    <row r="82" spans="3:11" ht="50" customHeight="1">
      <c r="C82" s="315"/>
    </row>
    <row r="83" spans="3:11" ht="50" customHeight="1">
      <c r="C83" s="315"/>
    </row>
    <row r="84" spans="3:11" ht="70" customHeight="1">
      <c r="C84" s="315"/>
    </row>
    <row r="85" spans="3:11" ht="50" customHeight="1"/>
    <row r="87" spans="3:11">
      <c r="C87" s="228"/>
    </row>
    <row r="88" spans="3:11" ht="75" customHeight="1"/>
    <row r="89" spans="3:11" ht="50" customHeight="1">
      <c r="C89" s="228"/>
    </row>
    <row r="90" spans="3:11" s="340" customFormat="1" ht="50" customHeight="1">
      <c r="K90" s="339"/>
    </row>
    <row r="91" spans="3:11" s="340" customFormat="1" ht="50" customHeight="1">
      <c r="C91" s="318"/>
      <c r="K91" s="339"/>
    </row>
    <row r="93" spans="3:11" ht="50" customHeight="1">
      <c r="C93" s="228"/>
    </row>
    <row r="94" spans="3:11" ht="50" customHeight="1"/>
  </sheetData>
  <mergeCells count="14">
    <mergeCell ref="B63:C63"/>
    <mergeCell ref="B57:C57"/>
    <mergeCell ref="B61:C61"/>
    <mergeCell ref="B28:C28"/>
    <mergeCell ref="B30:C30"/>
    <mergeCell ref="B35:C35"/>
    <mergeCell ref="B37:C37"/>
    <mergeCell ref="B41:C43"/>
    <mergeCell ref="B45:C45"/>
    <mergeCell ref="E4:G6"/>
    <mergeCell ref="B47:C47"/>
    <mergeCell ref="B51:C51"/>
    <mergeCell ref="B53:C53"/>
    <mergeCell ref="B55:C55"/>
  </mergeCells>
  <dataValidations count="1">
    <dataValidation type="list" allowBlank="1" showInputMessage="1" showErrorMessage="1" sqref="G28 G30 G45 G57 G55 G35 G37 G47 G51 G63 G61" xr:uid="{BB3E4F46-B553-F84E-A50F-7C31093E9E7F}">
      <formula1>"√, NO, N/A"</formula1>
    </dataValidation>
  </dataValidations>
  <pageMargins left="0.7" right="0.7" top="0.75" bottom="0.75" header="0.3" footer="0.3"/>
  <pageSetup paperSize="9" scale="6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B579-0380-9343-8936-884145AB641B}">
  <sheetPr>
    <tabColor rgb="FF92D050"/>
  </sheetPr>
  <dimension ref="A2:M94"/>
  <sheetViews>
    <sheetView showGridLines="0" topLeftCell="A28" zoomScaleNormal="100" workbookViewId="0">
      <selection activeCell="G44" sqref="G44"/>
    </sheetView>
  </sheetViews>
  <sheetFormatPr defaultColWidth="11" defaultRowHeight="15.5"/>
  <cols>
    <col min="1" max="1" width="5.81640625" style="314" customWidth="1"/>
    <col min="2" max="2" width="30.81640625" style="314" customWidth="1"/>
    <col min="3" max="3" width="70.81640625" style="318" customWidth="1"/>
    <col min="4" max="4" width="1" style="314" customWidth="1"/>
    <col min="5" max="5" width="8.81640625" style="314" customWidth="1"/>
    <col min="6" max="6" width="1" style="314" customWidth="1"/>
    <col min="7" max="7" width="10.81640625" style="314" customWidth="1"/>
    <col min="8" max="8" width="1" style="314" customWidth="1"/>
    <col min="9" max="10" width="11" style="314"/>
    <col min="11" max="11" width="69.36328125" style="315" customWidth="1"/>
    <col min="12" max="12" width="94" style="314" customWidth="1"/>
    <col min="13" max="16384" width="11" style="314"/>
  </cols>
  <sheetData>
    <row r="2" spans="2:7" ht="46">
      <c r="B2" s="267" t="s">
        <v>209</v>
      </c>
      <c r="C2" s="109"/>
      <c r="D2" s="365"/>
      <c r="E2" s="365"/>
      <c r="F2" s="365"/>
      <c r="G2" s="365"/>
    </row>
    <row r="3" spans="2:7">
      <c r="B3" s="227"/>
      <c r="C3" s="227"/>
    </row>
    <row r="4" spans="2:7" ht="19" customHeight="1">
      <c r="B4" s="268" t="s">
        <v>175</v>
      </c>
      <c r="C4" s="249">
        <f>Forestillingsnummer</f>
        <v>0</v>
      </c>
      <c r="E4" s="780" t="s">
        <v>311</v>
      </c>
      <c r="F4" s="781"/>
      <c r="G4" s="781"/>
    </row>
    <row r="5" spans="2:7" ht="18.5">
      <c r="B5" s="268" t="s">
        <v>197</v>
      </c>
      <c r="C5" s="265">
        <f>Forestillingstitel</f>
        <v>0</v>
      </c>
      <c r="E5" s="781"/>
      <c r="F5" s="781"/>
      <c r="G5" s="781"/>
    </row>
    <row r="6" spans="2:7" ht="18.5">
      <c r="B6" s="268" t="s">
        <v>198</v>
      </c>
      <c r="C6" s="266">
        <f>KUNSTART</f>
        <v>0</v>
      </c>
      <c r="E6" s="781"/>
      <c r="F6" s="781"/>
      <c r="G6" s="781"/>
    </row>
    <row r="7" spans="2:7" ht="18.5">
      <c r="B7" s="269"/>
      <c r="C7" s="230"/>
    </row>
    <row r="8" spans="2:7" ht="18.5">
      <c r="B8" s="268" t="s">
        <v>199</v>
      </c>
      <c r="C8" s="253">
        <f>_producent</f>
        <v>0</v>
      </c>
      <c r="G8" s="316"/>
    </row>
    <row r="9" spans="2:7" ht="18.5">
      <c r="B9" s="268" t="s">
        <v>200</v>
      </c>
      <c r="C9" s="254">
        <f>Director</f>
        <v>0</v>
      </c>
      <c r="G9" s="316"/>
    </row>
    <row r="10" spans="2:7" ht="18.5">
      <c r="B10" s="268" t="s">
        <v>201</v>
      </c>
      <c r="C10" s="254">
        <f>Designer</f>
        <v>0</v>
      </c>
      <c r="G10" s="316"/>
    </row>
    <row r="11" spans="2:7" ht="18.5">
      <c r="B11" s="268" t="s">
        <v>207</v>
      </c>
      <c r="C11" s="254">
        <f>Costumedesigner</f>
        <v>0</v>
      </c>
      <c r="G11" s="316"/>
    </row>
    <row r="12" spans="2:7" ht="18.5">
      <c r="B12" s="268" t="s">
        <v>202</v>
      </c>
      <c r="C12" s="255">
        <f>_produktionsleder</f>
        <v>0</v>
      </c>
      <c r="G12" s="316"/>
    </row>
    <row r="13" spans="2:7" ht="18.5">
      <c r="B13" s="268" t="s">
        <v>205</v>
      </c>
      <c r="C13" s="255">
        <f>Workshoplead</f>
        <v>0</v>
      </c>
      <c r="G13" s="316"/>
    </row>
    <row r="14" spans="2:7" ht="18.5">
      <c r="B14" s="98" t="s">
        <v>203</v>
      </c>
      <c r="C14" s="255">
        <f>_kostumier</f>
        <v>0</v>
      </c>
      <c r="G14" s="316"/>
    </row>
    <row r="15" spans="2:7" ht="18.5">
      <c r="B15" s="98" t="s">
        <v>204</v>
      </c>
      <c r="C15" s="255">
        <f>_scenemester</f>
        <v>0</v>
      </c>
      <c r="G15" s="316"/>
    </row>
    <row r="16" spans="2:7" ht="18.5">
      <c r="B16" s="98" t="s">
        <v>742</v>
      </c>
      <c r="C16" s="255">
        <f>Technical_lead</f>
        <v>0</v>
      </c>
      <c r="G16" s="316"/>
    </row>
    <row r="17" spans="1:11" ht="18.5">
      <c r="B17" s="98" t="s">
        <v>740</v>
      </c>
      <c r="C17" s="255">
        <f>Lighting_lead</f>
        <v>0</v>
      </c>
      <c r="G17" s="316"/>
    </row>
    <row r="18" spans="1:11" ht="18.5">
      <c r="B18" s="268" t="s">
        <v>741</v>
      </c>
      <c r="C18" s="256">
        <f>Sound_lead</f>
        <v>0</v>
      </c>
      <c r="G18" s="316"/>
    </row>
    <row r="19" spans="1:11" ht="18.5">
      <c r="B19" s="270"/>
      <c r="C19" s="231"/>
    </row>
    <row r="20" spans="1:11" ht="18.5">
      <c r="B20" s="98" t="s">
        <v>206</v>
      </c>
      <c r="C20" s="129">
        <f>_sæson</f>
        <v>0</v>
      </c>
    </row>
    <row r="22" spans="1:11" ht="21">
      <c r="B22" s="111" t="s">
        <v>177</v>
      </c>
      <c r="C22" s="317">
        <f>TARGET</f>
        <v>0</v>
      </c>
    </row>
    <row r="24" spans="1:11" ht="18.5">
      <c r="B24" s="229" t="s">
        <v>322</v>
      </c>
    </row>
    <row r="26" spans="1:11" ht="25" customHeight="1">
      <c r="A26" s="319"/>
      <c r="B26" s="343" t="s">
        <v>166</v>
      </c>
      <c r="C26" s="343" t="s">
        <v>315</v>
      </c>
      <c r="E26" s="320"/>
      <c r="F26" s="321"/>
      <c r="G26" s="364" t="s">
        <v>413</v>
      </c>
      <c r="H26" s="322"/>
      <c r="K26" s="323"/>
    </row>
    <row r="27" spans="1:11" ht="5" customHeight="1" thickBot="1">
      <c r="A27" s="319"/>
      <c r="B27" s="319"/>
      <c r="C27" s="322"/>
      <c r="E27" s="322"/>
      <c r="F27" s="322"/>
      <c r="G27" s="322"/>
      <c r="H27" s="322"/>
      <c r="K27" s="323"/>
    </row>
    <row r="28" spans="1:11" s="325" customFormat="1" ht="65" customHeight="1">
      <c r="A28" s="324"/>
      <c r="B28" s="788" t="s">
        <v>744</v>
      </c>
      <c r="C28" s="789"/>
      <c r="E28" s="326"/>
      <c r="G28" s="352"/>
      <c r="K28" s="351" t="s">
        <v>326</v>
      </c>
    </row>
    <row r="29" spans="1:11" s="329" customFormat="1" ht="5" customHeight="1" thickBot="1">
      <c r="A29" s="328"/>
      <c r="B29" s="362"/>
      <c r="C29" s="347"/>
      <c r="E29" s="102"/>
      <c r="G29" s="353"/>
      <c r="K29" s="315"/>
    </row>
    <row r="30" spans="1:11" s="329" customFormat="1" ht="65" customHeight="1" thickBot="1">
      <c r="A30" s="328"/>
      <c r="B30" s="790" t="s">
        <v>325</v>
      </c>
      <c r="C30" s="791"/>
      <c r="E30" s="359"/>
      <c r="F30" s="103"/>
      <c r="G30" s="366"/>
      <c r="K30" s="315"/>
    </row>
    <row r="31" spans="1:11" s="329" customFormat="1" ht="5" customHeight="1">
      <c r="A31" s="328"/>
      <c r="B31" s="328"/>
      <c r="C31" s="331"/>
      <c r="E31" s="103"/>
      <c r="F31" s="103"/>
      <c r="G31" s="353"/>
      <c r="K31" s="315"/>
    </row>
    <row r="32" spans="1:11" s="329" customFormat="1" ht="25" customHeight="1">
      <c r="A32" s="328"/>
      <c r="B32" s="343" t="s">
        <v>167</v>
      </c>
      <c r="C32" s="343" t="s">
        <v>168</v>
      </c>
      <c r="E32" s="103"/>
      <c r="F32" s="103"/>
      <c r="G32" s="353"/>
      <c r="K32" s="315"/>
    </row>
    <row r="33" spans="1:11" s="329" customFormat="1" ht="5" customHeight="1">
      <c r="A33" s="328"/>
      <c r="B33" s="332"/>
      <c r="C33" s="332"/>
      <c r="E33" s="103"/>
      <c r="F33" s="103"/>
      <c r="G33" s="353"/>
      <c r="K33" s="315"/>
    </row>
    <row r="34" spans="1:11" s="329" customFormat="1" ht="5" customHeight="1" thickBot="1">
      <c r="A34" s="328"/>
      <c r="B34" s="332"/>
      <c r="C34" s="332"/>
      <c r="E34" s="103"/>
      <c r="F34" s="103"/>
      <c r="G34" s="353"/>
      <c r="K34" s="315"/>
    </row>
    <row r="35" spans="1:11" s="329" customFormat="1" ht="45" customHeight="1">
      <c r="A35" s="328"/>
      <c r="B35" s="792" t="s">
        <v>324</v>
      </c>
      <c r="C35" s="793"/>
      <c r="E35" s="359"/>
      <c r="F35" s="103"/>
      <c r="G35" s="352"/>
      <c r="K35" s="315"/>
    </row>
    <row r="36" spans="1:11" s="329" customFormat="1" ht="5" customHeight="1">
      <c r="A36" s="328"/>
      <c r="B36" s="346"/>
      <c r="C36" s="347"/>
      <c r="E36" s="359"/>
      <c r="F36" s="103"/>
      <c r="G36" s="353"/>
      <c r="K36" s="315"/>
    </row>
    <row r="37" spans="1:11" s="329" customFormat="1" ht="65" customHeight="1" thickBot="1">
      <c r="A37" s="328"/>
      <c r="B37" s="790" t="s">
        <v>328</v>
      </c>
      <c r="C37" s="791"/>
      <c r="E37" s="359"/>
      <c r="F37" s="103"/>
      <c r="G37" s="352"/>
      <c r="K37" s="351" t="s">
        <v>317</v>
      </c>
    </row>
    <row r="38" spans="1:11" s="329" customFormat="1" ht="5" customHeight="1">
      <c r="A38" s="328"/>
      <c r="B38" s="332"/>
      <c r="C38" s="332"/>
      <c r="E38" s="103"/>
      <c r="F38" s="103"/>
      <c r="G38" s="353"/>
      <c r="K38" s="315"/>
    </row>
    <row r="39" spans="1:11" s="329" customFormat="1" ht="25" customHeight="1">
      <c r="A39" s="328"/>
      <c r="B39" s="343" t="s">
        <v>169</v>
      </c>
      <c r="C39" s="343" t="s">
        <v>170</v>
      </c>
      <c r="E39" s="360"/>
      <c r="F39" s="361"/>
      <c r="G39" s="355"/>
      <c r="K39" s="315"/>
    </row>
    <row r="40" spans="1:11" s="329" customFormat="1" ht="5" customHeight="1" thickBot="1">
      <c r="A40" s="328"/>
      <c r="B40" s="332"/>
      <c r="C40" s="332"/>
      <c r="E40" s="103"/>
      <c r="F40" s="103"/>
      <c r="G40" s="353"/>
      <c r="K40" s="315"/>
    </row>
    <row r="41" spans="1:11" s="329" customFormat="1" ht="40" customHeight="1" thickBot="1">
      <c r="A41" s="328"/>
      <c r="B41" s="784" t="s">
        <v>332</v>
      </c>
      <c r="C41" s="785"/>
      <c r="E41" s="334" t="s">
        <v>22</v>
      </c>
      <c r="F41" s="103"/>
      <c r="G41" s="768">
        <f>REPORT!I44</f>
        <v>0</v>
      </c>
      <c r="I41" s="310" t="s">
        <v>312</v>
      </c>
      <c r="K41" s="351" t="s">
        <v>327</v>
      </c>
    </row>
    <row r="42" spans="1:11" s="329" customFormat="1" ht="5" customHeight="1" thickBot="1">
      <c r="A42" s="328"/>
      <c r="B42" s="786"/>
      <c r="C42" s="787"/>
      <c r="E42" s="334"/>
      <c r="F42" s="103"/>
      <c r="G42" s="353"/>
      <c r="I42" s="310"/>
      <c r="K42" s="315"/>
    </row>
    <row r="43" spans="1:11" s="329" customFormat="1" ht="40" customHeight="1" thickBot="1">
      <c r="A43" s="328"/>
      <c r="B43" s="786"/>
      <c r="C43" s="787"/>
      <c r="E43" s="334" t="s">
        <v>171</v>
      </c>
      <c r="F43" s="103"/>
      <c r="G43" s="768">
        <f>REPORT!N44</f>
        <v>0</v>
      </c>
      <c r="I43" s="310" t="s">
        <v>312</v>
      </c>
      <c r="K43" s="315"/>
    </row>
    <row r="44" spans="1:11" s="329" customFormat="1" ht="5" customHeight="1" thickBot="1">
      <c r="A44" s="328"/>
      <c r="B44" s="350"/>
      <c r="C44" s="349"/>
      <c r="E44" s="102"/>
      <c r="G44" s="353"/>
      <c r="K44" s="315"/>
    </row>
    <row r="45" spans="1:11" s="329" customFormat="1" ht="60" customHeight="1" thickBot="1">
      <c r="A45" s="328"/>
      <c r="B45" s="786" t="s">
        <v>331</v>
      </c>
      <c r="C45" s="787"/>
      <c r="E45" s="330"/>
      <c r="G45" s="366"/>
      <c r="K45" s="315"/>
    </row>
    <row r="46" spans="1:11" s="329" customFormat="1" ht="5" customHeight="1">
      <c r="A46" s="328"/>
      <c r="B46" s="350"/>
      <c r="C46" s="349"/>
      <c r="E46" s="102"/>
      <c r="G46" s="353"/>
      <c r="K46" s="315"/>
    </row>
    <row r="47" spans="1:11" s="329" customFormat="1" ht="45" customHeight="1" thickBot="1">
      <c r="A47" s="328"/>
      <c r="B47" s="782" t="s">
        <v>336</v>
      </c>
      <c r="C47" s="783"/>
      <c r="E47" s="330"/>
      <c r="G47" s="352"/>
      <c r="K47" s="315"/>
    </row>
    <row r="48" spans="1:11" s="329" customFormat="1" ht="5" customHeight="1">
      <c r="A48" s="328"/>
      <c r="B48" s="335"/>
      <c r="C48" s="336"/>
      <c r="G48" s="353"/>
      <c r="K48" s="315"/>
    </row>
    <row r="49" spans="1:11" s="329" customFormat="1" ht="25" customHeight="1">
      <c r="A49" s="328"/>
      <c r="B49" s="343" t="s">
        <v>172</v>
      </c>
      <c r="C49" s="343" t="s">
        <v>337</v>
      </c>
      <c r="G49" s="353"/>
      <c r="K49" s="315"/>
    </row>
    <row r="50" spans="1:11" s="329" customFormat="1" ht="5" customHeight="1" thickBot="1">
      <c r="A50" s="328"/>
      <c r="B50" s="335"/>
      <c r="C50" s="336"/>
      <c r="G50" s="353"/>
      <c r="K50" s="315"/>
    </row>
    <row r="51" spans="1:11" s="329" customFormat="1" ht="45" customHeight="1">
      <c r="A51" s="328"/>
      <c r="B51" s="784" t="s">
        <v>340</v>
      </c>
      <c r="C51" s="785"/>
      <c r="E51" s="330"/>
      <c r="G51" s="352"/>
      <c r="K51" s="315"/>
    </row>
    <row r="52" spans="1:11" s="329" customFormat="1" ht="5" customHeight="1" thickBot="1">
      <c r="A52" s="328"/>
      <c r="B52" s="348"/>
      <c r="C52" s="349"/>
      <c r="E52" s="102"/>
      <c r="G52" s="353"/>
      <c r="K52" s="315"/>
    </row>
    <row r="53" spans="1:11" s="329" customFormat="1" ht="45" customHeight="1" thickBot="1">
      <c r="A53" s="328"/>
      <c r="B53" s="786" t="s">
        <v>725</v>
      </c>
      <c r="C53" s="787"/>
      <c r="E53" s="330"/>
      <c r="G53" s="759" t="str">
        <f>Technical!I13</f>
        <v>-</v>
      </c>
      <c r="I53" s="351" t="s">
        <v>724</v>
      </c>
      <c r="K53" s="315"/>
    </row>
    <row r="54" spans="1:11" s="329" customFormat="1" ht="5" customHeight="1">
      <c r="A54" s="328"/>
      <c r="B54" s="348"/>
      <c r="C54" s="349"/>
      <c r="E54" s="102"/>
      <c r="G54" s="353"/>
      <c r="K54" s="315"/>
    </row>
    <row r="55" spans="1:11" s="329" customFormat="1" ht="45" customHeight="1">
      <c r="A55" s="328"/>
      <c r="B55" s="786" t="s">
        <v>343</v>
      </c>
      <c r="C55" s="787"/>
      <c r="E55" s="330"/>
      <c r="G55" s="352"/>
      <c r="K55" s="315"/>
    </row>
    <row r="56" spans="1:11" s="329" customFormat="1" ht="5" customHeight="1" thickBot="1">
      <c r="A56" s="328"/>
      <c r="B56" s="348"/>
      <c r="C56" s="349"/>
      <c r="E56" s="330"/>
      <c r="G56" s="353"/>
      <c r="K56" s="315"/>
    </row>
    <row r="57" spans="1:11" s="329" customFormat="1" ht="45" customHeight="1" thickBot="1">
      <c r="A57" s="328"/>
      <c r="B57" s="782" t="s">
        <v>346</v>
      </c>
      <c r="C57" s="783"/>
      <c r="E57" s="330"/>
      <c r="G57" s="366"/>
      <c r="I57" s="351" t="s">
        <v>317</v>
      </c>
      <c r="K57" s="315"/>
    </row>
    <row r="58" spans="1:11" s="329" customFormat="1" ht="5" customHeight="1">
      <c r="A58" s="328"/>
      <c r="B58" s="317"/>
      <c r="C58" s="317"/>
      <c r="E58" s="102"/>
      <c r="G58" s="353"/>
      <c r="K58" s="315"/>
    </row>
    <row r="59" spans="1:11" s="329" customFormat="1" ht="25" customHeight="1">
      <c r="A59" s="328"/>
      <c r="B59" s="343" t="s">
        <v>173</v>
      </c>
      <c r="C59" s="343" t="s">
        <v>174</v>
      </c>
      <c r="E59" s="102"/>
      <c r="G59" s="353"/>
      <c r="K59" s="315"/>
    </row>
    <row r="60" spans="1:11" s="329" customFormat="1" ht="5" customHeight="1" thickBot="1">
      <c r="A60" s="328"/>
      <c r="B60" s="317"/>
      <c r="C60" s="317"/>
      <c r="E60" s="102"/>
      <c r="G60" s="353"/>
      <c r="K60" s="315"/>
    </row>
    <row r="61" spans="1:11" s="329" customFormat="1" ht="45" customHeight="1" thickBot="1">
      <c r="A61" s="328"/>
      <c r="B61" s="784" t="s">
        <v>415</v>
      </c>
      <c r="C61" s="785"/>
      <c r="E61" s="330"/>
      <c r="G61" s="366"/>
      <c r="K61" s="315"/>
    </row>
    <row r="62" spans="1:11" s="329" customFormat="1" ht="5" customHeight="1" thickBot="1">
      <c r="A62" s="328"/>
      <c r="B62" s="356"/>
      <c r="C62" s="357"/>
      <c r="K62" s="315"/>
    </row>
    <row r="63" spans="1:11" s="329" customFormat="1" ht="45" customHeight="1" thickBot="1">
      <c r="A63" s="328"/>
      <c r="B63" s="782" t="s">
        <v>319</v>
      </c>
      <c r="C63" s="783"/>
      <c r="E63" s="330"/>
      <c r="G63" s="366"/>
      <c r="K63" s="315"/>
    </row>
    <row r="64" spans="1:11" s="329" customFormat="1" ht="100" customHeight="1">
      <c r="A64" s="328"/>
      <c r="B64" s="317"/>
      <c r="C64" s="317"/>
      <c r="K64" s="315"/>
    </row>
    <row r="65" spans="1:13" s="329" customFormat="1" ht="100" customHeight="1">
      <c r="A65" s="328"/>
      <c r="B65" s="317"/>
      <c r="C65" s="337"/>
      <c r="K65" s="315"/>
    </row>
    <row r="66" spans="1:13" ht="50" customHeight="1">
      <c r="C66" s="315"/>
    </row>
    <row r="67" spans="1:13" ht="66" customHeight="1">
      <c r="C67" s="315"/>
    </row>
    <row r="68" spans="1:13" ht="50" customHeight="1">
      <c r="C68" s="315"/>
    </row>
    <row r="69" spans="1:13" ht="50" customHeight="1">
      <c r="C69" s="315"/>
    </row>
    <row r="70" spans="1:13" ht="50" customHeight="1">
      <c r="C70" s="315"/>
    </row>
    <row r="71" spans="1:13" ht="50" customHeight="1">
      <c r="C71" s="315"/>
    </row>
    <row r="72" spans="1:13" ht="50" customHeight="1">
      <c r="C72" s="315"/>
    </row>
    <row r="73" spans="1:13" ht="50" customHeight="1">
      <c r="C73" s="315"/>
    </row>
    <row r="74" spans="1:13" ht="50" customHeight="1">
      <c r="C74" s="315"/>
    </row>
    <row r="75" spans="1:13" ht="50" customHeight="1">
      <c r="C75" s="315"/>
    </row>
    <row r="76" spans="1:13" ht="50" customHeight="1">
      <c r="C76" s="315"/>
      <c r="L76" s="338"/>
      <c r="M76" s="338"/>
    </row>
    <row r="77" spans="1:13" ht="50" customHeight="1">
      <c r="C77" s="315"/>
    </row>
    <row r="78" spans="1:13" ht="87" customHeight="1">
      <c r="C78" s="315"/>
    </row>
    <row r="79" spans="1:13" ht="50" customHeight="1">
      <c r="C79" s="315"/>
    </row>
    <row r="80" spans="1:13" ht="101" customHeight="1">
      <c r="C80" s="315"/>
    </row>
    <row r="81" spans="3:11" ht="72" customHeight="1">
      <c r="C81" s="315"/>
      <c r="K81" s="339"/>
    </row>
    <row r="82" spans="3:11" ht="50" customHeight="1">
      <c r="C82" s="315"/>
    </row>
    <row r="83" spans="3:11" ht="50" customHeight="1">
      <c r="C83" s="315"/>
    </row>
    <row r="84" spans="3:11" ht="70" customHeight="1">
      <c r="C84" s="315"/>
    </row>
    <row r="85" spans="3:11" ht="50" customHeight="1"/>
    <row r="87" spans="3:11">
      <c r="C87" s="228"/>
    </row>
    <row r="88" spans="3:11" ht="75" customHeight="1"/>
    <row r="89" spans="3:11" ht="50" customHeight="1">
      <c r="C89" s="228"/>
    </row>
    <row r="90" spans="3:11" s="340" customFormat="1" ht="50" customHeight="1">
      <c r="K90" s="339"/>
    </row>
    <row r="91" spans="3:11" s="340" customFormat="1" ht="50" customHeight="1">
      <c r="C91" s="318"/>
      <c r="K91" s="339"/>
    </row>
    <row r="93" spans="3:11" ht="50" customHeight="1">
      <c r="C93" s="228"/>
    </row>
    <row r="94" spans="3:11" ht="50" customHeight="1"/>
  </sheetData>
  <mergeCells count="14">
    <mergeCell ref="B63:C63"/>
    <mergeCell ref="B57:C57"/>
    <mergeCell ref="B61:C61"/>
    <mergeCell ref="B28:C28"/>
    <mergeCell ref="B30:C30"/>
    <mergeCell ref="B35:C35"/>
    <mergeCell ref="B37:C37"/>
    <mergeCell ref="B41:C43"/>
    <mergeCell ref="B45:C45"/>
    <mergeCell ref="E4:G6"/>
    <mergeCell ref="B47:C47"/>
    <mergeCell ref="B51:C51"/>
    <mergeCell ref="B53:C53"/>
    <mergeCell ref="B55:C55"/>
  </mergeCells>
  <dataValidations count="1">
    <dataValidation type="list" allowBlank="1" showInputMessage="1" showErrorMessage="1" sqref="G28 G30 G35 G37 G47 G51 G63 G55 G45 G57 G61" xr:uid="{89906010-B959-8F43-9F8B-F45396BBEE5C}">
      <formula1>"√, NO, N/A"</formula1>
    </dataValidation>
  </dataValidations>
  <pageMargins left="0.7" right="0.7" top="0.75" bottom="0.75" header="0.3" footer="0.3"/>
  <pageSetup paperSize="9" scale="65"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86CB-3C03-40C0-9957-80403A8C75B4}">
  <dimension ref="B2:Z224"/>
  <sheetViews>
    <sheetView showGridLines="0" zoomScaleNormal="100" workbookViewId="0">
      <selection activeCell="M18" sqref="M18"/>
    </sheetView>
  </sheetViews>
  <sheetFormatPr defaultColWidth="8.81640625" defaultRowHeight="15.5"/>
  <cols>
    <col min="1" max="1" width="5.453125" style="451" customWidth="1"/>
    <col min="2" max="2" width="34.36328125" style="449" customWidth="1"/>
    <col min="3" max="3" width="24.36328125" style="449" customWidth="1"/>
    <col min="4" max="4" width="28.453125" style="449" customWidth="1"/>
    <col min="5" max="5" width="16.6328125" style="449" customWidth="1"/>
    <col min="6" max="6" width="2.1796875" style="449" customWidth="1"/>
    <col min="7" max="7" width="15.36328125" style="449" customWidth="1"/>
    <col min="8" max="8" width="20.6328125" style="449" customWidth="1"/>
    <col min="9" max="9" width="14.6328125" style="449" customWidth="1"/>
    <col min="10" max="10" width="2.1796875" style="449" customWidth="1"/>
    <col min="11" max="11" width="22" style="449" customWidth="1"/>
    <col min="12" max="12" width="17.81640625" style="449" customWidth="1"/>
    <col min="13" max="13" width="20.81640625" style="449" customWidth="1"/>
    <col min="14" max="14" width="14.6328125" style="449" customWidth="1"/>
    <col min="15" max="15" width="2.6328125" style="449" customWidth="1"/>
    <col min="16" max="16" width="22.81640625" style="449" customWidth="1"/>
    <col min="17" max="17" width="38" style="449" customWidth="1"/>
    <col min="18" max="18" width="3.36328125" style="449" customWidth="1"/>
    <col min="19" max="20" width="15.81640625" style="451" customWidth="1"/>
    <col min="21" max="16384" width="8.81640625" style="451"/>
  </cols>
  <sheetData>
    <row r="2" spans="2:23" ht="60" customHeight="1">
      <c r="B2" s="447" t="s">
        <v>155</v>
      </c>
      <c r="C2" s="448"/>
      <c r="D2" s="448"/>
      <c r="E2" s="448"/>
      <c r="F2" s="448"/>
      <c r="G2" s="448"/>
      <c r="H2" s="448"/>
      <c r="I2" s="448"/>
      <c r="J2" s="448"/>
      <c r="K2" s="448"/>
      <c r="L2" s="448"/>
      <c r="M2" s="448"/>
      <c r="N2" s="448"/>
      <c r="O2" s="448"/>
      <c r="P2" s="448"/>
      <c r="Q2" s="447" t="s">
        <v>156</v>
      </c>
      <c r="S2" s="450"/>
      <c r="T2" s="450"/>
    </row>
    <row r="3" spans="2:23" ht="5" customHeight="1" thickBot="1">
      <c r="S3" s="450"/>
      <c r="T3" s="450"/>
    </row>
    <row r="4" spans="2:23" ht="20" customHeight="1">
      <c r="B4" s="385" t="s">
        <v>211</v>
      </c>
      <c r="C4" s="237">
        <f>Forestillingstitel</f>
        <v>0</v>
      </c>
      <c r="D4" s="452"/>
      <c r="E4" s="452"/>
      <c r="F4" s="453"/>
      <c r="G4" s="806" t="s">
        <v>210</v>
      </c>
      <c r="H4" s="806"/>
      <c r="I4" s="806"/>
      <c r="J4" s="386"/>
      <c r="K4" s="386"/>
      <c r="L4" s="825">
        <f>TARGET</f>
        <v>0</v>
      </c>
      <c r="M4" s="825"/>
      <c r="N4" s="825"/>
      <c r="O4" s="453"/>
      <c r="P4" s="454"/>
      <c r="Q4" s="454"/>
      <c r="S4" s="797" t="s">
        <v>179</v>
      </c>
      <c r="T4" s="798"/>
    </row>
    <row r="5" spans="2:23" ht="20" customHeight="1">
      <c r="B5" s="385" t="s">
        <v>198</v>
      </c>
      <c r="C5" s="237">
        <f>KUNSTART</f>
        <v>0</v>
      </c>
      <c r="D5" s="452"/>
      <c r="E5" s="452"/>
      <c r="F5" s="453"/>
      <c r="G5" s="806"/>
      <c r="H5" s="806"/>
      <c r="I5" s="806"/>
      <c r="J5" s="386"/>
      <c r="K5" s="386"/>
      <c r="L5" s="825"/>
      <c r="M5" s="825"/>
      <c r="N5" s="825"/>
      <c r="O5" s="453"/>
      <c r="P5" s="454" t="s">
        <v>34</v>
      </c>
      <c r="Q5" s="454"/>
      <c r="S5" s="799"/>
      <c r="T5" s="800"/>
    </row>
    <row r="6" spans="2:23" ht="20" customHeight="1" thickBot="1">
      <c r="B6" s="385" t="s">
        <v>212</v>
      </c>
      <c r="C6" s="237">
        <f>sæson</f>
        <v>0</v>
      </c>
      <c r="D6" s="452"/>
      <c r="E6" s="452"/>
      <c r="F6" s="453"/>
      <c r="G6" s="806"/>
      <c r="H6" s="806"/>
      <c r="I6" s="806"/>
      <c r="J6" s="386"/>
      <c r="K6" s="386"/>
      <c r="L6" s="825"/>
      <c r="M6" s="825"/>
      <c r="N6" s="825"/>
      <c r="O6" s="453"/>
      <c r="P6" s="454" t="s">
        <v>202</v>
      </c>
      <c r="Q6" s="224">
        <f>Produktionsleder</f>
        <v>0</v>
      </c>
      <c r="S6" s="801"/>
      <c r="T6" s="802"/>
    </row>
    <row r="7" spans="2:23" ht="7" customHeight="1">
      <c r="S7" s="455"/>
      <c r="T7" s="455"/>
    </row>
    <row r="8" spans="2:23" ht="23.5">
      <c r="B8" s="826" t="s">
        <v>49</v>
      </c>
      <c r="C8" s="826"/>
      <c r="D8" s="826"/>
      <c r="E8" s="826"/>
      <c r="F8" s="456"/>
      <c r="G8" s="827" t="s">
        <v>22</v>
      </c>
      <c r="H8" s="827"/>
      <c r="I8" s="827"/>
      <c r="J8" s="456"/>
      <c r="K8" s="457"/>
      <c r="L8" s="458" t="s">
        <v>12</v>
      </c>
      <c r="M8" s="458"/>
      <c r="N8" s="458"/>
      <c r="O8" s="456"/>
      <c r="P8" s="827" t="s">
        <v>23</v>
      </c>
      <c r="Q8" s="827"/>
      <c r="R8" s="459"/>
      <c r="S8" s="803" t="s">
        <v>178</v>
      </c>
      <c r="T8" s="804"/>
    </row>
    <row r="9" spans="2:23" ht="18.5">
      <c r="B9" s="459"/>
      <c r="C9" s="459"/>
      <c r="D9" s="459"/>
      <c r="E9" s="459"/>
      <c r="F9" s="459"/>
      <c r="G9" s="459"/>
      <c r="H9" s="459"/>
      <c r="I9" s="459"/>
      <c r="J9" s="459"/>
      <c r="K9" s="459"/>
      <c r="L9" s="459"/>
      <c r="M9" s="459"/>
      <c r="N9" s="459"/>
      <c r="O9" s="459"/>
      <c r="P9" s="459"/>
      <c r="Q9" s="459"/>
      <c r="R9" s="459"/>
      <c r="T9" s="559"/>
      <c r="U9" s="559"/>
      <c r="V9" s="559"/>
      <c r="W9" s="559"/>
    </row>
    <row r="10" spans="2:23" ht="18.5" customHeight="1">
      <c r="B10" s="460" t="s">
        <v>190</v>
      </c>
      <c r="C10" s="461"/>
      <c r="D10" s="461"/>
      <c r="E10" s="461"/>
      <c r="F10" s="461"/>
      <c r="G10" s="807" t="s">
        <v>358</v>
      </c>
      <c r="H10" s="808"/>
      <c r="I10" s="463">
        <v>1</v>
      </c>
      <c r="J10" s="464"/>
      <c r="K10" s="830" t="s">
        <v>399</v>
      </c>
      <c r="L10" s="808"/>
      <c r="M10" s="808"/>
      <c r="N10" s="463">
        <v>1</v>
      </c>
      <c r="O10" s="464"/>
      <c r="P10" s="828" t="s">
        <v>27</v>
      </c>
      <c r="Q10" s="829"/>
      <c r="R10" s="461"/>
      <c r="S10" s="805" t="s">
        <v>635</v>
      </c>
      <c r="T10" s="805"/>
    </row>
    <row r="11" spans="2:23" ht="18.5" customHeight="1">
      <c r="B11" s="465" t="s">
        <v>191</v>
      </c>
      <c r="C11" s="461"/>
      <c r="D11" s="461"/>
      <c r="E11" s="461"/>
      <c r="F11" s="461"/>
      <c r="G11" s="807" t="s">
        <v>359</v>
      </c>
      <c r="H11" s="808"/>
      <c r="I11" s="466">
        <v>2</v>
      </c>
      <c r="J11" s="464"/>
      <c r="K11" s="830" t="s">
        <v>401</v>
      </c>
      <c r="L11" s="808"/>
      <c r="M11" s="808"/>
      <c r="N11" s="466">
        <v>2</v>
      </c>
      <c r="O11" s="464"/>
      <c r="P11" s="837" t="s">
        <v>28</v>
      </c>
      <c r="Q11" s="838"/>
      <c r="R11" s="461"/>
      <c r="S11" s="805"/>
      <c r="T11" s="805"/>
    </row>
    <row r="12" spans="2:23" ht="18.5">
      <c r="B12" s="460" t="s">
        <v>189</v>
      </c>
      <c r="C12" s="461"/>
      <c r="D12" s="461"/>
      <c r="E12" s="461"/>
      <c r="F12" s="461"/>
      <c r="G12" s="807" t="s">
        <v>354</v>
      </c>
      <c r="H12" s="808"/>
      <c r="I12" s="467">
        <v>3</v>
      </c>
      <c r="J12" s="464"/>
      <c r="K12" s="830" t="s">
        <v>400</v>
      </c>
      <c r="L12" s="808"/>
      <c r="M12" s="808"/>
      <c r="N12" s="467">
        <v>3</v>
      </c>
      <c r="O12" s="464"/>
      <c r="P12" s="839" t="s">
        <v>29</v>
      </c>
      <c r="Q12" s="840"/>
      <c r="R12" s="461"/>
      <c r="S12" s="805"/>
      <c r="T12" s="805"/>
    </row>
    <row r="13" spans="2:23" ht="15.5" customHeight="1">
      <c r="B13" s="468"/>
      <c r="C13" s="461"/>
      <c r="D13" s="461"/>
      <c r="E13" s="461"/>
      <c r="F13" s="461"/>
      <c r="G13" s="807" t="s">
        <v>355</v>
      </c>
      <c r="H13" s="808"/>
      <c r="I13" s="469">
        <v>4</v>
      </c>
      <c r="J13" s="470"/>
      <c r="K13" s="835" t="s">
        <v>361</v>
      </c>
      <c r="L13" s="835"/>
      <c r="M13" s="835"/>
      <c r="N13" s="469">
        <v>4</v>
      </c>
      <c r="O13" s="470"/>
      <c r="P13" s="831" t="s">
        <v>30</v>
      </c>
      <c r="Q13" s="832"/>
      <c r="R13" s="461"/>
      <c r="S13" s="805"/>
      <c r="T13" s="805"/>
    </row>
    <row r="14" spans="2:23" ht="18.5">
      <c r="B14" s="471" t="s">
        <v>48</v>
      </c>
      <c r="C14" s="461"/>
      <c r="D14" s="461"/>
      <c r="E14" s="461"/>
      <c r="F14" s="461"/>
      <c r="G14" s="807" t="s">
        <v>356</v>
      </c>
      <c r="H14" s="808"/>
      <c r="I14" s="472">
        <v>5</v>
      </c>
      <c r="J14" s="470"/>
      <c r="K14" s="807" t="s">
        <v>360</v>
      </c>
      <c r="L14" s="808"/>
      <c r="M14" s="808"/>
      <c r="N14" s="472">
        <v>5</v>
      </c>
      <c r="O14" s="470"/>
      <c r="P14" s="833" t="s">
        <v>45</v>
      </c>
      <c r="Q14" s="834"/>
      <c r="R14" s="461"/>
      <c r="S14" s="805"/>
      <c r="T14" s="805"/>
    </row>
    <row r="15" spans="2:23">
      <c r="B15" s="473"/>
      <c r="C15" s="461"/>
      <c r="D15" s="461"/>
      <c r="E15" s="461"/>
      <c r="F15" s="461"/>
      <c r="G15" s="461"/>
      <c r="H15" s="461"/>
      <c r="I15" s="461"/>
      <c r="J15" s="461"/>
      <c r="K15" s="461"/>
      <c r="L15" s="461"/>
      <c r="M15" s="461"/>
      <c r="N15" s="461"/>
      <c r="O15" s="461"/>
      <c r="P15" s="461"/>
      <c r="Q15" s="461"/>
      <c r="R15" s="461"/>
      <c r="S15" s="461"/>
    </row>
    <row r="16" spans="2:23" ht="35" customHeight="1">
      <c r="B16" s="454" t="s">
        <v>49</v>
      </c>
      <c r="C16" s="474" t="s">
        <v>50</v>
      </c>
      <c r="D16" s="474" t="s">
        <v>51</v>
      </c>
      <c r="E16" s="475" t="s">
        <v>52</v>
      </c>
      <c r="F16" s="476"/>
      <c r="G16" s="454" t="s">
        <v>22</v>
      </c>
      <c r="H16" s="474"/>
      <c r="I16" s="474" t="s">
        <v>53</v>
      </c>
      <c r="J16" s="476"/>
      <c r="K16" s="475" t="s">
        <v>55</v>
      </c>
      <c r="L16" s="454" t="s">
        <v>12</v>
      </c>
      <c r="M16" s="474" t="s">
        <v>51</v>
      </c>
      <c r="N16" s="474" t="s">
        <v>53</v>
      </c>
      <c r="O16" s="477"/>
      <c r="P16" s="474" t="s">
        <v>54</v>
      </c>
      <c r="Q16" s="474" t="s">
        <v>51</v>
      </c>
      <c r="R16" s="464"/>
      <c r="S16" s="478" t="s">
        <v>487</v>
      </c>
      <c r="T16" s="479" t="s">
        <v>634</v>
      </c>
    </row>
    <row r="17" spans="2:26">
      <c r="I17" s="464"/>
      <c r="J17" s="464"/>
      <c r="S17" s="449"/>
    </row>
    <row r="18" spans="2:26" ht="16" customHeight="1">
      <c r="B18" s="480"/>
      <c r="C18" s="480"/>
      <c r="D18" s="480"/>
      <c r="E18" s="481"/>
      <c r="F18" s="482"/>
      <c r="G18" s="811"/>
      <c r="H18" s="812"/>
      <c r="I18" s="483"/>
      <c r="J18" s="482"/>
      <c r="K18" s="481"/>
      <c r="L18" s="480"/>
      <c r="M18" s="480"/>
      <c r="N18" s="483"/>
      <c r="O18" s="482"/>
      <c r="P18" s="554" t="str">
        <f t="shared" ref="P18:P54" si="0">IF(N18&gt;0,I18*N18,"")</f>
        <v/>
      </c>
      <c r="Q18" s="483"/>
      <c r="R18" s="451"/>
      <c r="S18" s="484"/>
      <c r="T18" s="554">
        <f>E18*S18</f>
        <v>0</v>
      </c>
      <c r="V18" s="794" t="s">
        <v>636</v>
      </c>
      <c r="W18" s="794"/>
      <c r="X18" s="794"/>
      <c r="Y18" s="794"/>
      <c r="Z18" s="794"/>
    </row>
    <row r="19" spans="2:26" ht="16" customHeight="1">
      <c r="B19" s="480"/>
      <c r="C19" s="485"/>
      <c r="D19" s="480"/>
      <c r="E19" s="481"/>
      <c r="F19" s="482"/>
      <c r="G19" s="811"/>
      <c r="H19" s="812"/>
      <c r="I19" s="483"/>
      <c r="J19" s="482"/>
      <c r="K19" s="481"/>
      <c r="L19" s="480"/>
      <c r="M19" s="480"/>
      <c r="N19" s="483"/>
      <c r="O19" s="482"/>
      <c r="P19" s="554" t="str">
        <f t="shared" si="0"/>
        <v/>
      </c>
      <c r="Q19" s="483"/>
      <c r="R19" s="451"/>
      <c r="S19" s="484"/>
      <c r="T19" s="554">
        <f t="shared" ref="T19:T54" si="1">E19*S19</f>
        <v>0</v>
      </c>
      <c r="V19" s="794"/>
      <c r="W19" s="794"/>
      <c r="X19" s="794"/>
      <c r="Y19" s="794"/>
      <c r="Z19" s="794"/>
    </row>
    <row r="20" spans="2:26" ht="16" customHeight="1">
      <c r="B20" s="480"/>
      <c r="C20" s="480"/>
      <c r="D20" s="480"/>
      <c r="E20" s="481"/>
      <c r="F20" s="482"/>
      <c r="G20" s="811"/>
      <c r="H20" s="812"/>
      <c r="I20" s="483"/>
      <c r="J20" s="482"/>
      <c r="K20" s="486"/>
      <c r="L20" s="480"/>
      <c r="M20" s="480"/>
      <c r="N20" s="483"/>
      <c r="O20" s="482"/>
      <c r="P20" s="554" t="str">
        <f t="shared" si="0"/>
        <v/>
      </c>
      <c r="Q20" s="483"/>
      <c r="R20" s="451"/>
      <c r="S20" s="484"/>
      <c r="T20" s="554">
        <f t="shared" si="1"/>
        <v>0</v>
      </c>
      <c r="V20" s="794"/>
      <c r="W20" s="794"/>
      <c r="X20" s="794"/>
      <c r="Y20" s="794"/>
      <c r="Z20" s="794"/>
    </row>
    <row r="21" spans="2:26" ht="16" customHeight="1">
      <c r="B21" s="480"/>
      <c r="C21" s="485"/>
      <c r="D21" s="480"/>
      <c r="E21" s="481"/>
      <c r="F21" s="482"/>
      <c r="G21" s="811"/>
      <c r="H21" s="812"/>
      <c r="I21" s="483"/>
      <c r="J21" s="482"/>
      <c r="K21" s="481"/>
      <c r="L21" s="480"/>
      <c r="M21" s="480"/>
      <c r="N21" s="483"/>
      <c r="O21" s="482"/>
      <c r="P21" s="554" t="str">
        <f t="shared" si="0"/>
        <v/>
      </c>
      <c r="Q21" s="483"/>
      <c r="R21" s="451"/>
      <c r="S21" s="484"/>
      <c r="T21" s="554">
        <f t="shared" si="1"/>
        <v>0</v>
      </c>
      <c r="V21" s="794"/>
      <c r="W21" s="794"/>
      <c r="X21" s="794"/>
      <c r="Y21" s="794"/>
      <c r="Z21" s="794"/>
    </row>
    <row r="22" spans="2:26" ht="16" customHeight="1">
      <c r="B22" s="480"/>
      <c r="C22" s="480"/>
      <c r="D22" s="480"/>
      <c r="E22" s="481"/>
      <c r="F22" s="482"/>
      <c r="G22" s="811"/>
      <c r="H22" s="812"/>
      <c r="I22" s="483"/>
      <c r="J22" s="482"/>
      <c r="K22" s="481"/>
      <c r="L22" s="480"/>
      <c r="M22" s="480"/>
      <c r="N22" s="483"/>
      <c r="O22" s="482"/>
      <c r="P22" s="554" t="str">
        <f t="shared" si="0"/>
        <v/>
      </c>
      <c r="Q22" s="483"/>
      <c r="R22" s="451"/>
      <c r="S22" s="484"/>
      <c r="T22" s="554">
        <f t="shared" si="1"/>
        <v>0</v>
      </c>
      <c r="V22" s="794"/>
      <c r="W22" s="794"/>
      <c r="X22" s="794"/>
      <c r="Y22" s="794"/>
      <c r="Z22" s="794"/>
    </row>
    <row r="23" spans="2:26" ht="16" customHeight="1">
      <c r="B23" s="480"/>
      <c r="C23" s="480"/>
      <c r="D23" s="480"/>
      <c r="E23" s="481"/>
      <c r="F23" s="482"/>
      <c r="G23" s="811"/>
      <c r="H23" s="812"/>
      <c r="I23" s="483"/>
      <c r="J23" s="482"/>
      <c r="K23" s="481"/>
      <c r="L23" s="480"/>
      <c r="M23" s="480"/>
      <c r="N23" s="483"/>
      <c r="O23" s="482"/>
      <c r="P23" s="554" t="str">
        <f t="shared" si="0"/>
        <v/>
      </c>
      <c r="Q23" s="483"/>
      <c r="R23" s="451"/>
      <c r="S23" s="484"/>
      <c r="T23" s="554">
        <f t="shared" si="1"/>
        <v>0</v>
      </c>
      <c r="V23" s="794"/>
      <c r="W23" s="794"/>
      <c r="X23" s="794"/>
      <c r="Y23" s="794"/>
      <c r="Z23" s="794"/>
    </row>
    <row r="24" spans="2:26" ht="16" customHeight="1">
      <c r="B24" s="480"/>
      <c r="C24" s="480"/>
      <c r="D24" s="480"/>
      <c r="E24" s="481"/>
      <c r="F24" s="482"/>
      <c r="G24" s="811"/>
      <c r="H24" s="812"/>
      <c r="I24" s="483"/>
      <c r="J24" s="482"/>
      <c r="K24" s="481"/>
      <c r="L24" s="480"/>
      <c r="M24" s="487"/>
      <c r="N24" s="483"/>
      <c r="O24" s="482"/>
      <c r="P24" s="554" t="str">
        <f t="shared" si="0"/>
        <v/>
      </c>
      <c r="Q24" s="483"/>
      <c r="R24" s="451"/>
      <c r="S24" s="484"/>
      <c r="T24" s="554">
        <f t="shared" si="1"/>
        <v>0</v>
      </c>
      <c r="V24" s="794"/>
      <c r="W24" s="794"/>
      <c r="X24" s="794"/>
      <c r="Y24" s="794"/>
      <c r="Z24" s="794"/>
    </row>
    <row r="25" spans="2:26" ht="16" customHeight="1">
      <c r="B25" s="480"/>
      <c r="C25" s="480"/>
      <c r="D25" s="480"/>
      <c r="E25" s="481"/>
      <c r="F25" s="482"/>
      <c r="G25" s="811"/>
      <c r="H25" s="812"/>
      <c r="I25" s="483"/>
      <c r="J25" s="482"/>
      <c r="K25" s="481"/>
      <c r="L25" s="480"/>
      <c r="M25" s="487"/>
      <c r="N25" s="483"/>
      <c r="O25" s="482"/>
      <c r="P25" s="554" t="str">
        <f t="shared" si="0"/>
        <v/>
      </c>
      <c r="Q25" s="483"/>
      <c r="R25" s="451"/>
      <c r="S25" s="484"/>
      <c r="T25" s="554">
        <f t="shared" si="1"/>
        <v>0</v>
      </c>
      <c r="V25" s="794"/>
      <c r="W25" s="794"/>
      <c r="X25" s="794"/>
      <c r="Y25" s="794"/>
      <c r="Z25" s="794"/>
    </row>
    <row r="26" spans="2:26" ht="16" customHeight="1">
      <c r="B26" s="480"/>
      <c r="C26" s="480"/>
      <c r="D26" s="480"/>
      <c r="E26" s="481"/>
      <c r="F26" s="482"/>
      <c r="G26" s="811"/>
      <c r="H26" s="812"/>
      <c r="I26" s="483"/>
      <c r="J26" s="482"/>
      <c r="K26" s="481"/>
      <c r="L26" s="480"/>
      <c r="M26" s="480"/>
      <c r="N26" s="483"/>
      <c r="O26" s="482"/>
      <c r="P26" s="554" t="str">
        <f t="shared" si="0"/>
        <v/>
      </c>
      <c r="Q26" s="483"/>
      <c r="R26" s="451"/>
      <c r="S26" s="484"/>
      <c r="T26" s="554">
        <f t="shared" si="1"/>
        <v>0</v>
      </c>
    </row>
    <row r="27" spans="2:26" ht="16" customHeight="1">
      <c r="B27" s="480"/>
      <c r="C27" s="480"/>
      <c r="D27" s="480"/>
      <c r="E27" s="481"/>
      <c r="F27" s="482"/>
      <c r="G27" s="811"/>
      <c r="H27" s="812"/>
      <c r="I27" s="483"/>
      <c r="J27" s="482"/>
      <c r="K27" s="481"/>
      <c r="L27" s="480"/>
      <c r="M27" s="480"/>
      <c r="N27" s="483"/>
      <c r="O27" s="482"/>
      <c r="P27" s="554" t="str">
        <f t="shared" si="0"/>
        <v/>
      </c>
      <c r="Q27" s="483"/>
      <c r="R27" s="451"/>
      <c r="S27" s="484"/>
      <c r="T27" s="554">
        <f t="shared" si="1"/>
        <v>0</v>
      </c>
    </row>
    <row r="28" spans="2:26" ht="16" customHeight="1">
      <c r="B28" s="480"/>
      <c r="C28" s="480"/>
      <c r="D28" s="480"/>
      <c r="E28" s="481"/>
      <c r="F28" s="482"/>
      <c r="G28" s="811"/>
      <c r="H28" s="812"/>
      <c r="I28" s="483"/>
      <c r="J28" s="482"/>
      <c r="K28" s="481"/>
      <c r="L28" s="480"/>
      <c r="M28" s="480"/>
      <c r="N28" s="483"/>
      <c r="O28" s="482"/>
      <c r="P28" s="554" t="str">
        <f t="shared" si="0"/>
        <v/>
      </c>
      <c r="Q28" s="483"/>
      <c r="R28" s="451"/>
      <c r="S28" s="484"/>
      <c r="T28" s="554">
        <f t="shared" si="1"/>
        <v>0</v>
      </c>
    </row>
    <row r="29" spans="2:26" ht="16" customHeight="1">
      <c r="B29" s="480"/>
      <c r="C29" s="480"/>
      <c r="D29" s="480"/>
      <c r="E29" s="481"/>
      <c r="F29" s="482"/>
      <c r="G29" s="811"/>
      <c r="H29" s="812"/>
      <c r="I29" s="483"/>
      <c r="J29" s="482"/>
      <c r="K29" s="481"/>
      <c r="L29" s="480"/>
      <c r="M29" s="480"/>
      <c r="N29" s="483"/>
      <c r="O29" s="482"/>
      <c r="P29" s="554" t="str">
        <f t="shared" si="0"/>
        <v/>
      </c>
      <c r="Q29" s="483"/>
      <c r="R29" s="451"/>
      <c r="S29" s="484"/>
      <c r="T29" s="554">
        <f t="shared" si="1"/>
        <v>0</v>
      </c>
    </row>
    <row r="30" spans="2:26" ht="16" customHeight="1">
      <c r="B30" s="480"/>
      <c r="C30" s="480"/>
      <c r="D30" s="480"/>
      <c r="E30" s="481"/>
      <c r="F30" s="482"/>
      <c r="G30" s="811"/>
      <c r="H30" s="812"/>
      <c r="I30" s="483"/>
      <c r="J30" s="482"/>
      <c r="K30" s="481"/>
      <c r="L30" s="480"/>
      <c r="M30" s="480"/>
      <c r="N30" s="483"/>
      <c r="O30" s="482"/>
      <c r="P30" s="554" t="str">
        <f t="shared" si="0"/>
        <v/>
      </c>
      <c r="Q30" s="483"/>
      <c r="R30" s="451"/>
      <c r="S30" s="484"/>
      <c r="T30" s="554">
        <f t="shared" si="1"/>
        <v>0</v>
      </c>
    </row>
    <row r="31" spans="2:26" ht="16" customHeight="1">
      <c r="B31" s="480"/>
      <c r="C31" s="480"/>
      <c r="D31" s="480"/>
      <c r="E31" s="481"/>
      <c r="F31" s="482"/>
      <c r="G31" s="811"/>
      <c r="H31" s="812"/>
      <c r="I31" s="483"/>
      <c r="J31" s="482"/>
      <c r="K31" s="481"/>
      <c r="L31" s="480"/>
      <c r="M31" s="480"/>
      <c r="N31" s="483"/>
      <c r="O31" s="482"/>
      <c r="P31" s="554" t="str">
        <f t="shared" si="0"/>
        <v/>
      </c>
      <c r="Q31" s="483"/>
      <c r="R31" s="451"/>
      <c r="S31" s="484"/>
      <c r="T31" s="554">
        <f t="shared" si="1"/>
        <v>0</v>
      </c>
    </row>
    <row r="32" spans="2:26" ht="16" customHeight="1">
      <c r="B32" s="480"/>
      <c r="C32" s="480"/>
      <c r="D32" s="480"/>
      <c r="E32" s="481"/>
      <c r="F32" s="482"/>
      <c r="G32" s="811"/>
      <c r="H32" s="812"/>
      <c r="I32" s="483"/>
      <c r="J32" s="482"/>
      <c r="K32" s="481"/>
      <c r="L32" s="480"/>
      <c r="M32" s="480"/>
      <c r="N32" s="483"/>
      <c r="O32" s="482"/>
      <c r="P32" s="554" t="str">
        <f t="shared" si="0"/>
        <v/>
      </c>
      <c r="Q32" s="483"/>
      <c r="R32" s="451"/>
      <c r="S32" s="484"/>
      <c r="T32" s="554">
        <f t="shared" si="1"/>
        <v>0</v>
      </c>
    </row>
    <row r="33" spans="2:20" ht="16" customHeight="1">
      <c r="B33" s="480"/>
      <c r="C33" s="480"/>
      <c r="D33" s="480"/>
      <c r="E33" s="481"/>
      <c r="F33" s="482"/>
      <c r="G33" s="811"/>
      <c r="H33" s="812"/>
      <c r="I33" s="483"/>
      <c r="J33" s="482"/>
      <c r="K33" s="481"/>
      <c r="L33" s="480"/>
      <c r="M33" s="480"/>
      <c r="N33" s="483"/>
      <c r="O33" s="482"/>
      <c r="P33" s="554" t="str">
        <f t="shared" si="0"/>
        <v/>
      </c>
      <c r="Q33" s="483"/>
      <c r="R33" s="451"/>
      <c r="S33" s="484"/>
      <c r="T33" s="554">
        <f t="shared" si="1"/>
        <v>0</v>
      </c>
    </row>
    <row r="34" spans="2:20" ht="16" customHeight="1">
      <c r="B34" s="480"/>
      <c r="C34" s="480"/>
      <c r="D34" s="480"/>
      <c r="E34" s="481"/>
      <c r="F34" s="482"/>
      <c r="G34" s="811"/>
      <c r="H34" s="812"/>
      <c r="I34" s="483"/>
      <c r="J34" s="482"/>
      <c r="K34" s="481"/>
      <c r="L34" s="480"/>
      <c r="M34" s="480"/>
      <c r="N34" s="483"/>
      <c r="O34" s="482"/>
      <c r="P34" s="554" t="str">
        <f t="shared" si="0"/>
        <v/>
      </c>
      <c r="Q34" s="483"/>
      <c r="R34" s="451"/>
      <c r="S34" s="484"/>
      <c r="T34" s="554">
        <f t="shared" si="1"/>
        <v>0</v>
      </c>
    </row>
    <row r="35" spans="2:20" ht="16" customHeight="1">
      <c r="B35" s="480"/>
      <c r="C35" s="480"/>
      <c r="D35" s="480"/>
      <c r="E35" s="481"/>
      <c r="F35" s="482"/>
      <c r="G35" s="811"/>
      <c r="H35" s="812"/>
      <c r="I35" s="483"/>
      <c r="J35" s="482"/>
      <c r="K35" s="481"/>
      <c r="L35" s="480"/>
      <c r="M35" s="480"/>
      <c r="N35" s="483"/>
      <c r="O35" s="482"/>
      <c r="P35" s="554" t="str">
        <f t="shared" si="0"/>
        <v/>
      </c>
      <c r="Q35" s="483"/>
      <c r="R35" s="451"/>
      <c r="S35" s="484"/>
      <c r="T35" s="554">
        <f t="shared" si="1"/>
        <v>0</v>
      </c>
    </row>
    <row r="36" spans="2:20" ht="16" customHeight="1">
      <c r="B36" s="480"/>
      <c r="C36" s="480"/>
      <c r="D36" s="480"/>
      <c r="E36" s="481"/>
      <c r="F36" s="482"/>
      <c r="G36" s="811"/>
      <c r="H36" s="812"/>
      <c r="I36" s="483"/>
      <c r="J36" s="482"/>
      <c r="K36" s="481"/>
      <c r="L36" s="480"/>
      <c r="M36" s="480"/>
      <c r="N36" s="483"/>
      <c r="O36" s="482"/>
      <c r="P36" s="554" t="str">
        <f t="shared" si="0"/>
        <v/>
      </c>
      <c r="Q36" s="483"/>
      <c r="R36" s="451"/>
      <c r="S36" s="484"/>
      <c r="T36" s="554">
        <f t="shared" si="1"/>
        <v>0</v>
      </c>
    </row>
    <row r="37" spans="2:20" ht="16" customHeight="1">
      <c r="B37" s="480"/>
      <c r="C37" s="480"/>
      <c r="D37" s="480"/>
      <c r="E37" s="481"/>
      <c r="F37" s="482"/>
      <c r="G37" s="811"/>
      <c r="H37" s="812"/>
      <c r="I37" s="483"/>
      <c r="J37" s="482"/>
      <c r="K37" s="481"/>
      <c r="L37" s="480"/>
      <c r="M37" s="480"/>
      <c r="N37" s="483"/>
      <c r="O37" s="482"/>
      <c r="P37" s="554" t="str">
        <f t="shared" si="0"/>
        <v/>
      </c>
      <c r="Q37" s="483"/>
      <c r="R37" s="451"/>
      <c r="S37" s="484"/>
      <c r="T37" s="554">
        <f t="shared" si="1"/>
        <v>0</v>
      </c>
    </row>
    <row r="38" spans="2:20" ht="16" customHeight="1">
      <c r="B38" s="480"/>
      <c r="C38" s="480"/>
      <c r="D38" s="480"/>
      <c r="E38" s="481"/>
      <c r="F38" s="482"/>
      <c r="G38" s="811"/>
      <c r="H38" s="812"/>
      <c r="I38" s="483"/>
      <c r="J38" s="482"/>
      <c r="K38" s="481"/>
      <c r="L38" s="480"/>
      <c r="M38" s="480"/>
      <c r="N38" s="483"/>
      <c r="O38" s="482"/>
      <c r="P38" s="554" t="str">
        <f t="shared" si="0"/>
        <v/>
      </c>
      <c r="Q38" s="483"/>
      <c r="R38" s="451"/>
      <c r="S38" s="484"/>
      <c r="T38" s="554">
        <f t="shared" si="1"/>
        <v>0</v>
      </c>
    </row>
    <row r="39" spans="2:20" ht="16" customHeight="1">
      <c r="B39" s="480"/>
      <c r="C39" s="480"/>
      <c r="D39" s="480"/>
      <c r="E39" s="481"/>
      <c r="F39" s="482"/>
      <c r="G39" s="811"/>
      <c r="H39" s="812"/>
      <c r="I39" s="483"/>
      <c r="J39" s="482"/>
      <c r="K39" s="481"/>
      <c r="L39" s="480"/>
      <c r="M39" s="480"/>
      <c r="N39" s="483"/>
      <c r="O39" s="482"/>
      <c r="P39" s="554" t="str">
        <f t="shared" si="0"/>
        <v/>
      </c>
      <c r="Q39" s="483"/>
      <c r="R39" s="451"/>
      <c r="S39" s="484"/>
      <c r="T39" s="554">
        <f t="shared" si="1"/>
        <v>0</v>
      </c>
    </row>
    <row r="40" spans="2:20" ht="16" customHeight="1">
      <c r="B40" s="480"/>
      <c r="C40" s="480"/>
      <c r="D40" s="480"/>
      <c r="E40" s="481"/>
      <c r="F40" s="482"/>
      <c r="G40" s="811"/>
      <c r="H40" s="812"/>
      <c r="I40" s="483"/>
      <c r="J40" s="482"/>
      <c r="K40" s="481"/>
      <c r="L40" s="480"/>
      <c r="M40" s="480"/>
      <c r="N40" s="483"/>
      <c r="O40" s="482"/>
      <c r="P40" s="554" t="str">
        <f t="shared" si="0"/>
        <v/>
      </c>
      <c r="Q40" s="483"/>
      <c r="R40" s="451"/>
      <c r="S40" s="484"/>
      <c r="T40" s="554">
        <f t="shared" si="1"/>
        <v>0</v>
      </c>
    </row>
    <row r="41" spans="2:20" ht="16" customHeight="1">
      <c r="B41" s="480"/>
      <c r="C41" s="480"/>
      <c r="D41" s="480"/>
      <c r="E41" s="481"/>
      <c r="F41" s="482"/>
      <c r="G41" s="811"/>
      <c r="H41" s="812"/>
      <c r="I41" s="483"/>
      <c r="J41" s="482"/>
      <c r="K41" s="481"/>
      <c r="L41" s="480"/>
      <c r="M41" s="480"/>
      <c r="N41" s="483"/>
      <c r="O41" s="482"/>
      <c r="P41" s="554" t="str">
        <f t="shared" si="0"/>
        <v/>
      </c>
      <c r="Q41" s="483"/>
      <c r="R41" s="451"/>
      <c r="S41" s="484"/>
      <c r="T41" s="554">
        <f t="shared" si="1"/>
        <v>0</v>
      </c>
    </row>
    <row r="42" spans="2:20" ht="16" customHeight="1">
      <c r="B42" s="480"/>
      <c r="C42" s="480"/>
      <c r="D42" s="480"/>
      <c r="E42" s="481"/>
      <c r="F42" s="482"/>
      <c r="G42" s="811"/>
      <c r="H42" s="812"/>
      <c r="I42" s="483"/>
      <c r="J42" s="482"/>
      <c r="K42" s="481"/>
      <c r="L42" s="480"/>
      <c r="M42" s="480"/>
      <c r="N42" s="483"/>
      <c r="O42" s="482"/>
      <c r="P42" s="554" t="str">
        <f t="shared" si="0"/>
        <v/>
      </c>
      <c r="Q42" s="483"/>
      <c r="R42" s="451"/>
      <c r="S42" s="484"/>
      <c r="T42" s="554">
        <f t="shared" si="1"/>
        <v>0</v>
      </c>
    </row>
    <row r="43" spans="2:20" ht="16" customHeight="1">
      <c r="B43" s="480"/>
      <c r="C43" s="480"/>
      <c r="D43" s="480"/>
      <c r="E43" s="481"/>
      <c r="F43" s="482"/>
      <c r="G43" s="811"/>
      <c r="H43" s="812"/>
      <c r="I43" s="483"/>
      <c r="J43" s="482"/>
      <c r="K43" s="481"/>
      <c r="L43" s="480"/>
      <c r="M43" s="480"/>
      <c r="N43" s="483"/>
      <c r="O43" s="482"/>
      <c r="P43" s="554" t="str">
        <f t="shared" si="0"/>
        <v/>
      </c>
      <c r="Q43" s="483"/>
      <c r="R43" s="451"/>
      <c r="S43" s="484"/>
      <c r="T43" s="554">
        <f t="shared" si="1"/>
        <v>0</v>
      </c>
    </row>
    <row r="44" spans="2:20" ht="16" customHeight="1">
      <c r="B44" s="480"/>
      <c r="C44" s="480"/>
      <c r="D44" s="480"/>
      <c r="E44" s="481"/>
      <c r="F44" s="482"/>
      <c r="G44" s="811"/>
      <c r="H44" s="812"/>
      <c r="I44" s="483"/>
      <c r="J44" s="482"/>
      <c r="K44" s="481"/>
      <c r="L44" s="480"/>
      <c r="M44" s="480"/>
      <c r="N44" s="483"/>
      <c r="O44" s="482"/>
      <c r="P44" s="554" t="str">
        <f t="shared" si="0"/>
        <v/>
      </c>
      <c r="Q44" s="483"/>
      <c r="R44" s="451"/>
      <c r="S44" s="484"/>
      <c r="T44" s="554">
        <f t="shared" si="1"/>
        <v>0</v>
      </c>
    </row>
    <row r="45" spans="2:20" ht="16" customHeight="1">
      <c r="B45" s="480"/>
      <c r="C45" s="480"/>
      <c r="D45" s="480"/>
      <c r="E45" s="481"/>
      <c r="F45" s="482"/>
      <c r="G45" s="811"/>
      <c r="H45" s="812"/>
      <c r="I45" s="483"/>
      <c r="J45" s="482"/>
      <c r="K45" s="481"/>
      <c r="L45" s="480"/>
      <c r="M45" s="480"/>
      <c r="N45" s="483"/>
      <c r="O45" s="482"/>
      <c r="P45" s="554" t="str">
        <f t="shared" si="0"/>
        <v/>
      </c>
      <c r="Q45" s="483"/>
      <c r="R45" s="451"/>
      <c r="S45" s="484"/>
      <c r="T45" s="554">
        <f t="shared" si="1"/>
        <v>0</v>
      </c>
    </row>
    <row r="46" spans="2:20" ht="16" customHeight="1">
      <c r="B46" s="480"/>
      <c r="C46" s="480"/>
      <c r="D46" s="480"/>
      <c r="E46" s="481"/>
      <c r="F46" s="482"/>
      <c r="G46" s="811"/>
      <c r="H46" s="812"/>
      <c r="I46" s="483"/>
      <c r="J46" s="482"/>
      <c r="K46" s="481"/>
      <c r="L46" s="480"/>
      <c r="M46" s="480"/>
      <c r="N46" s="483"/>
      <c r="O46" s="482"/>
      <c r="P46" s="554" t="str">
        <f t="shared" si="0"/>
        <v/>
      </c>
      <c r="Q46" s="483"/>
      <c r="R46" s="451"/>
      <c r="S46" s="484"/>
      <c r="T46" s="554">
        <f t="shared" si="1"/>
        <v>0</v>
      </c>
    </row>
    <row r="47" spans="2:20" ht="16" customHeight="1">
      <c r="B47" s="480"/>
      <c r="C47" s="480"/>
      <c r="D47" s="480"/>
      <c r="E47" s="481"/>
      <c r="F47" s="482"/>
      <c r="G47" s="811"/>
      <c r="H47" s="812"/>
      <c r="I47" s="483"/>
      <c r="J47" s="482"/>
      <c r="K47" s="481"/>
      <c r="L47" s="480"/>
      <c r="M47" s="480"/>
      <c r="N47" s="483"/>
      <c r="O47" s="482"/>
      <c r="P47" s="554" t="str">
        <f t="shared" si="0"/>
        <v/>
      </c>
      <c r="Q47" s="483"/>
      <c r="R47" s="451"/>
      <c r="S47" s="484"/>
      <c r="T47" s="554">
        <f t="shared" si="1"/>
        <v>0</v>
      </c>
    </row>
    <row r="48" spans="2:20" ht="16" customHeight="1">
      <c r="B48" s="480"/>
      <c r="C48" s="480"/>
      <c r="D48" s="480"/>
      <c r="E48" s="481"/>
      <c r="F48" s="482"/>
      <c r="G48" s="811"/>
      <c r="H48" s="812"/>
      <c r="I48" s="483"/>
      <c r="J48" s="482"/>
      <c r="K48" s="481"/>
      <c r="L48" s="480"/>
      <c r="M48" s="480"/>
      <c r="N48" s="483"/>
      <c r="O48" s="482"/>
      <c r="P48" s="554" t="str">
        <f t="shared" si="0"/>
        <v/>
      </c>
      <c r="Q48" s="483"/>
      <c r="R48" s="451"/>
      <c r="S48" s="484"/>
      <c r="T48" s="554">
        <f t="shared" si="1"/>
        <v>0</v>
      </c>
    </row>
    <row r="49" spans="2:20" ht="16" customHeight="1">
      <c r="B49" s="480"/>
      <c r="C49" s="480"/>
      <c r="D49" s="480"/>
      <c r="E49" s="481"/>
      <c r="F49" s="482"/>
      <c r="G49" s="811"/>
      <c r="H49" s="812"/>
      <c r="I49" s="483"/>
      <c r="J49" s="482"/>
      <c r="K49" s="481"/>
      <c r="L49" s="480"/>
      <c r="M49" s="480"/>
      <c r="N49" s="483"/>
      <c r="O49" s="482"/>
      <c r="P49" s="554" t="str">
        <f t="shared" si="0"/>
        <v/>
      </c>
      <c r="Q49" s="483"/>
      <c r="R49" s="451"/>
      <c r="S49" s="484"/>
      <c r="T49" s="554">
        <f t="shared" si="1"/>
        <v>0</v>
      </c>
    </row>
    <row r="50" spans="2:20" ht="16" customHeight="1">
      <c r="B50" s="480"/>
      <c r="C50" s="480"/>
      <c r="D50" s="480"/>
      <c r="E50" s="481"/>
      <c r="F50" s="482"/>
      <c r="G50" s="811"/>
      <c r="H50" s="812"/>
      <c r="I50" s="483"/>
      <c r="J50" s="482"/>
      <c r="K50" s="481"/>
      <c r="L50" s="480"/>
      <c r="M50" s="480"/>
      <c r="N50" s="483"/>
      <c r="O50" s="482"/>
      <c r="P50" s="554" t="str">
        <f t="shared" si="0"/>
        <v/>
      </c>
      <c r="Q50" s="483"/>
      <c r="R50" s="451"/>
      <c r="S50" s="484"/>
      <c r="T50" s="554">
        <f t="shared" si="1"/>
        <v>0</v>
      </c>
    </row>
    <row r="51" spans="2:20" ht="16" customHeight="1">
      <c r="B51" s="480"/>
      <c r="C51" s="480"/>
      <c r="D51" s="480"/>
      <c r="E51" s="481"/>
      <c r="F51" s="482"/>
      <c r="G51" s="811"/>
      <c r="H51" s="812"/>
      <c r="I51" s="483"/>
      <c r="J51" s="482"/>
      <c r="K51" s="481"/>
      <c r="L51" s="480"/>
      <c r="M51" s="480"/>
      <c r="N51" s="483"/>
      <c r="O51" s="482"/>
      <c r="P51" s="554" t="str">
        <f t="shared" si="0"/>
        <v/>
      </c>
      <c r="Q51" s="483"/>
      <c r="R51" s="451"/>
      <c r="S51" s="484"/>
      <c r="T51" s="554">
        <f t="shared" si="1"/>
        <v>0</v>
      </c>
    </row>
    <row r="52" spans="2:20" ht="16" customHeight="1">
      <c r="B52" s="480"/>
      <c r="C52" s="480"/>
      <c r="D52" s="480"/>
      <c r="E52" s="481"/>
      <c r="F52" s="482"/>
      <c r="G52" s="811"/>
      <c r="H52" s="812"/>
      <c r="I52" s="483"/>
      <c r="J52" s="482"/>
      <c r="K52" s="481"/>
      <c r="L52" s="480"/>
      <c r="M52" s="480"/>
      <c r="N52" s="483"/>
      <c r="O52" s="482"/>
      <c r="P52" s="554" t="str">
        <f t="shared" si="0"/>
        <v/>
      </c>
      <c r="Q52" s="483"/>
      <c r="R52" s="451"/>
      <c r="S52" s="484"/>
      <c r="T52" s="554">
        <f t="shared" si="1"/>
        <v>0</v>
      </c>
    </row>
    <row r="53" spans="2:20" ht="16" customHeight="1">
      <c r="B53" s="480"/>
      <c r="C53" s="480"/>
      <c r="D53" s="480"/>
      <c r="E53" s="481"/>
      <c r="F53" s="482"/>
      <c r="G53" s="841"/>
      <c r="H53" s="842"/>
      <c r="I53" s="483"/>
      <c r="J53" s="482"/>
      <c r="K53" s="481"/>
      <c r="L53" s="480"/>
      <c r="M53" s="480"/>
      <c r="N53" s="483"/>
      <c r="O53" s="482"/>
      <c r="P53" s="554" t="str">
        <f t="shared" si="0"/>
        <v/>
      </c>
      <c r="Q53" s="483"/>
      <c r="R53" s="451"/>
      <c r="S53" s="484"/>
      <c r="T53" s="554">
        <f t="shared" si="1"/>
        <v>0</v>
      </c>
    </row>
    <row r="54" spans="2:20" ht="16" customHeight="1">
      <c r="B54" s="480"/>
      <c r="C54" s="480"/>
      <c r="D54" s="480"/>
      <c r="E54" s="481"/>
      <c r="F54" s="482"/>
      <c r="G54" s="811"/>
      <c r="H54" s="812"/>
      <c r="I54" s="488"/>
      <c r="J54" s="482"/>
      <c r="K54" s="481"/>
      <c r="L54" s="480"/>
      <c r="M54" s="480"/>
      <c r="N54" s="483"/>
      <c r="O54" s="482"/>
      <c r="P54" s="554" t="str">
        <f t="shared" si="0"/>
        <v/>
      </c>
      <c r="Q54" s="483"/>
      <c r="R54" s="451"/>
      <c r="S54" s="484"/>
      <c r="T54" s="554">
        <f t="shared" si="1"/>
        <v>0</v>
      </c>
    </row>
    <row r="55" spans="2:20" ht="5" customHeight="1" thickBot="1">
      <c r="C55" s="489"/>
      <c r="E55" s="451"/>
      <c r="F55" s="451"/>
      <c r="G55" s="836"/>
      <c r="H55" s="836"/>
      <c r="I55" s="490"/>
      <c r="K55" s="451"/>
      <c r="N55" s="464"/>
      <c r="S55" s="449"/>
    </row>
    <row r="56" spans="2:20" ht="63.5" thickBot="1">
      <c r="B56" s="814" t="s">
        <v>24</v>
      </c>
      <c r="C56" s="814"/>
      <c r="D56" s="814"/>
      <c r="E56" s="557">
        <f>SUM(E18:E54)</f>
        <v>0</v>
      </c>
      <c r="F56" s="491"/>
      <c r="G56" s="809" t="s">
        <v>25</v>
      </c>
      <c r="H56" s="810"/>
      <c r="I56" s="555" t="str">
        <f>IFERROR(SUMIF(I18:I54,"&lt;4",$E18:$E54)/$E56,"n/a")</f>
        <v>n/a</v>
      </c>
      <c r="J56" s="491"/>
      <c r="K56" s="556">
        <f>SUM(K18:K54)</f>
        <v>0</v>
      </c>
      <c r="L56" s="823" t="s">
        <v>26</v>
      </c>
      <c r="M56" s="824"/>
      <c r="N56" s="555" t="str">
        <f>IFERROR(SUMIF(N18:N54,"&lt;4",$K18:$K54)/$K56,"n/a")</f>
        <v>n/a</v>
      </c>
      <c r="O56" s="492"/>
      <c r="P56" s="493"/>
      <c r="Q56" s="494"/>
      <c r="R56" s="492"/>
      <c r="S56" s="560" t="s">
        <v>445</v>
      </c>
      <c r="T56" s="558">
        <f>SUM(T18:T54)</f>
        <v>0</v>
      </c>
    </row>
    <row r="57" spans="2:20" ht="5" customHeight="1">
      <c r="B57" s="495"/>
      <c r="C57" s="451"/>
      <c r="D57" s="451"/>
      <c r="E57" s="451"/>
      <c r="F57" s="451"/>
      <c r="G57" s="451"/>
      <c r="H57" s="451"/>
      <c r="I57" s="451"/>
      <c r="J57" s="451"/>
      <c r="K57" s="451"/>
      <c r="L57" s="451"/>
      <c r="M57" s="451"/>
      <c r="N57" s="451"/>
      <c r="O57" s="451"/>
      <c r="P57" s="496"/>
      <c r="Q57" s="497"/>
      <c r="R57" s="451"/>
    </row>
    <row r="58" spans="2:20" ht="15.75" customHeight="1">
      <c r="B58" s="815" t="s">
        <v>368</v>
      </c>
      <c r="C58" s="816"/>
      <c r="D58" s="816"/>
      <c r="E58" s="816"/>
      <c r="G58" s="817" t="s">
        <v>423</v>
      </c>
      <c r="H58" s="818"/>
      <c r="I58" s="498">
        <v>0.5</v>
      </c>
      <c r="L58" s="822" t="s">
        <v>423</v>
      </c>
      <c r="M58" s="822"/>
      <c r="N58" s="498">
        <v>0.65</v>
      </c>
      <c r="P58" s="499"/>
      <c r="Q58" s="500"/>
      <c r="S58" s="795" t="s">
        <v>181</v>
      </c>
      <c r="T58" s="795"/>
    </row>
    <row r="59" spans="2:20" ht="15.75" customHeight="1">
      <c r="B59" s="816"/>
      <c r="C59" s="816"/>
      <c r="D59" s="816"/>
      <c r="E59" s="816"/>
      <c r="G59" s="822" t="s">
        <v>33</v>
      </c>
      <c r="H59" s="822"/>
      <c r="I59" s="498">
        <v>0.6</v>
      </c>
      <c r="L59" s="822" t="s">
        <v>33</v>
      </c>
      <c r="M59" s="822"/>
      <c r="N59" s="498">
        <v>0.7</v>
      </c>
      <c r="P59" s="499"/>
      <c r="Q59" s="500"/>
      <c r="S59" s="795"/>
      <c r="T59" s="795"/>
    </row>
    <row r="60" spans="2:20" ht="15.75" customHeight="1">
      <c r="B60" s="816"/>
      <c r="C60" s="816"/>
      <c r="D60" s="816"/>
      <c r="E60" s="816"/>
      <c r="G60" s="822" t="s">
        <v>32</v>
      </c>
      <c r="H60" s="822"/>
      <c r="I60" s="498">
        <v>0.75</v>
      </c>
      <c r="L60" s="822" t="s">
        <v>32</v>
      </c>
      <c r="M60" s="822"/>
      <c r="N60" s="498">
        <v>0.8</v>
      </c>
      <c r="P60" s="501"/>
      <c r="Q60" s="502"/>
      <c r="S60" s="795"/>
      <c r="T60" s="795"/>
    </row>
    <row r="61" spans="2:20" ht="5" customHeight="1">
      <c r="B61" s="503"/>
      <c r="C61" s="504"/>
      <c r="D61" s="504"/>
      <c r="E61" s="504"/>
      <c r="S61" s="449"/>
    </row>
    <row r="62" spans="2:20" ht="18.5">
      <c r="B62" s="820" t="s">
        <v>352</v>
      </c>
      <c r="C62" s="816"/>
      <c r="D62" s="816"/>
      <c r="E62" s="816"/>
      <c r="G62" s="505" t="s">
        <v>165</v>
      </c>
      <c r="H62" s="819"/>
      <c r="I62" s="819"/>
      <c r="J62" s="819"/>
      <c r="K62" s="819"/>
      <c r="L62" s="819"/>
      <c r="M62" s="819"/>
      <c r="N62" s="819"/>
    </row>
    <row r="63" spans="2:20" ht="18.5">
      <c r="B63" s="820" t="s">
        <v>353</v>
      </c>
      <c r="C63" s="816"/>
      <c r="D63" s="816"/>
      <c r="E63" s="816"/>
      <c r="G63" s="506"/>
      <c r="H63" s="819"/>
      <c r="I63" s="819"/>
      <c r="J63" s="819"/>
      <c r="K63" s="819"/>
      <c r="L63" s="819"/>
      <c r="M63" s="819"/>
      <c r="N63" s="819"/>
    </row>
    <row r="64" spans="2:20" ht="18.5">
      <c r="B64" s="820" t="s">
        <v>357</v>
      </c>
      <c r="C64" s="816"/>
      <c r="D64" s="816"/>
      <c r="E64" s="816"/>
      <c r="G64" s="506"/>
      <c r="H64" s="819"/>
      <c r="I64" s="819"/>
      <c r="J64" s="819"/>
      <c r="K64" s="819"/>
      <c r="L64" s="819"/>
      <c r="M64" s="819"/>
      <c r="N64" s="819"/>
    </row>
    <row r="66" spans="2:14" s="449" customFormat="1" ht="23.5">
      <c r="B66" s="507" t="s">
        <v>92</v>
      </c>
      <c r="C66" s="508"/>
      <c r="D66" s="508"/>
      <c r="E66" s="508"/>
      <c r="F66" s="508"/>
      <c r="G66" s="508"/>
      <c r="H66" s="508"/>
      <c r="K66" s="507" t="s">
        <v>351</v>
      </c>
      <c r="L66" s="508"/>
      <c r="M66" s="508"/>
      <c r="N66" s="508"/>
    </row>
    <row r="67" spans="2:14" s="449" customFormat="1"/>
    <row r="68" spans="2:14" s="449" customFormat="1" ht="18.5">
      <c r="B68" s="460" t="s">
        <v>183</v>
      </c>
      <c r="G68" s="796" t="s">
        <v>182</v>
      </c>
      <c r="H68" s="796"/>
      <c r="K68" s="821" t="s">
        <v>365</v>
      </c>
      <c r="L68" s="821"/>
      <c r="M68" s="821"/>
      <c r="N68" s="821"/>
    </row>
    <row r="69" spans="2:14" s="449" customFormat="1">
      <c r="B69" s="503" t="s">
        <v>93</v>
      </c>
      <c r="G69" s="844" t="s">
        <v>180</v>
      </c>
      <c r="H69" s="844"/>
      <c r="K69" s="821"/>
      <c r="L69" s="821"/>
      <c r="M69" s="821"/>
      <c r="N69" s="821"/>
    </row>
    <row r="70" spans="2:14" s="449" customFormat="1">
      <c r="C70" s="444" t="s">
        <v>94</v>
      </c>
      <c r="D70" s="444" t="s">
        <v>95</v>
      </c>
      <c r="E70" s="444" t="s">
        <v>85</v>
      </c>
      <c r="G70" s="441" t="s">
        <v>632</v>
      </c>
      <c r="K70" s="510" t="s">
        <v>366</v>
      </c>
      <c r="L70" s="508"/>
      <c r="M70" s="508"/>
      <c r="N70" s="508"/>
    </row>
    <row r="71" spans="2:14" s="449" customFormat="1">
      <c r="B71" s="511" t="s">
        <v>151</v>
      </c>
      <c r="C71" s="512"/>
      <c r="D71" s="513">
        <v>17</v>
      </c>
      <c r="E71" s="208">
        <f t="shared" ref="E71:E84" si="2">D71*C71</f>
        <v>0</v>
      </c>
      <c r="G71" s="590">
        <f>'Emission factors and lists'!$E$2</f>
        <v>0.85599999999999998</v>
      </c>
      <c r="K71" s="510" t="s">
        <v>362</v>
      </c>
      <c r="L71" s="508"/>
      <c r="M71" s="508"/>
      <c r="N71" s="508"/>
    </row>
    <row r="72" spans="2:14" s="449" customFormat="1">
      <c r="B72" s="511" t="s">
        <v>152</v>
      </c>
      <c r="C72" s="512"/>
      <c r="D72" s="513">
        <v>23</v>
      </c>
      <c r="E72" s="208">
        <f t="shared" si="2"/>
        <v>0</v>
      </c>
      <c r="G72" s="590">
        <f>'Emission factors and lists'!$E$2</f>
        <v>0.85599999999999998</v>
      </c>
      <c r="K72" s="510" t="s">
        <v>364</v>
      </c>
      <c r="L72" s="508"/>
      <c r="M72" s="508"/>
      <c r="N72" s="508"/>
    </row>
    <row r="73" spans="2:14" s="449" customFormat="1">
      <c r="B73" s="511" t="s">
        <v>153</v>
      </c>
      <c r="C73" s="512"/>
      <c r="D73" s="513">
        <v>29.5</v>
      </c>
      <c r="E73" s="208">
        <f t="shared" si="2"/>
        <v>0</v>
      </c>
      <c r="G73" s="590">
        <f>'Emission factors and lists'!$E$2</f>
        <v>0.85599999999999998</v>
      </c>
      <c r="K73" s="510" t="s">
        <v>363</v>
      </c>
      <c r="L73" s="508"/>
      <c r="M73" s="508"/>
      <c r="N73" s="508"/>
    </row>
    <row r="74" spans="2:14" s="449" customFormat="1">
      <c r="B74" s="511" t="s">
        <v>149</v>
      </c>
      <c r="C74" s="512"/>
      <c r="D74" s="513">
        <v>41.4</v>
      </c>
      <c r="E74" s="208">
        <f t="shared" si="2"/>
        <v>0</v>
      </c>
      <c r="G74" s="590">
        <f>'Emission factors and lists'!$E$2</f>
        <v>0.85599999999999998</v>
      </c>
      <c r="K74" s="821" t="s">
        <v>367</v>
      </c>
      <c r="L74" s="821"/>
      <c r="M74" s="821"/>
      <c r="N74" s="821"/>
    </row>
    <row r="75" spans="2:14" s="449" customFormat="1">
      <c r="B75" s="511" t="s">
        <v>150</v>
      </c>
      <c r="C75" s="512"/>
      <c r="D75" s="513">
        <v>57.5</v>
      </c>
      <c r="E75" s="208">
        <f t="shared" si="2"/>
        <v>0</v>
      </c>
      <c r="G75" s="590">
        <f>'Emission factors and lists'!$E$2</f>
        <v>0.85599999999999998</v>
      </c>
      <c r="K75" s="821"/>
      <c r="L75" s="821"/>
      <c r="M75" s="821"/>
      <c r="N75" s="821"/>
    </row>
    <row r="76" spans="2:14" s="449" customFormat="1" ht="31">
      <c r="B76" s="511" t="s">
        <v>144</v>
      </c>
      <c r="C76" s="512"/>
      <c r="D76" s="513">
        <v>8.33</v>
      </c>
      <c r="E76" s="208">
        <f t="shared" si="2"/>
        <v>0</v>
      </c>
      <c r="G76" s="590">
        <f>'Emission factors and lists'!$E$3</f>
        <v>0.63</v>
      </c>
    </row>
    <row r="77" spans="2:14" s="449" customFormat="1" ht="31">
      <c r="B77" s="511" t="s">
        <v>145</v>
      </c>
      <c r="C77" s="512"/>
      <c r="D77" s="513">
        <v>12.5</v>
      </c>
      <c r="E77" s="208">
        <f t="shared" si="2"/>
        <v>0</v>
      </c>
      <c r="G77" s="590">
        <f>'Emission factors and lists'!$E$3</f>
        <v>0.63</v>
      </c>
      <c r="K77" s="596" t="s">
        <v>660</v>
      </c>
      <c r="L77" s="508"/>
      <c r="M77" s="508"/>
      <c r="N77" s="508"/>
    </row>
    <row r="78" spans="2:14" s="449" customFormat="1">
      <c r="B78" s="514" t="s">
        <v>278</v>
      </c>
      <c r="C78" s="512"/>
      <c r="D78" s="513">
        <v>18.75</v>
      </c>
      <c r="E78" s="208">
        <f t="shared" si="2"/>
        <v>0</v>
      </c>
      <c r="G78" s="590">
        <f>'Emission factors and lists'!$E$3</f>
        <v>0.63</v>
      </c>
    </row>
    <row r="79" spans="2:14" s="449" customFormat="1">
      <c r="B79" s="511" t="s">
        <v>146</v>
      </c>
      <c r="C79" s="512"/>
      <c r="D79" s="513">
        <v>25</v>
      </c>
      <c r="E79" s="208">
        <f t="shared" si="2"/>
        <v>0</v>
      </c>
      <c r="G79" s="590">
        <f>'Emission factors and lists'!$E$3</f>
        <v>0.63</v>
      </c>
      <c r="K79" s="595" t="s">
        <v>659</v>
      </c>
      <c r="L79" s="508"/>
      <c r="M79" s="508"/>
      <c r="N79" s="508"/>
    </row>
    <row r="80" spans="2:14" s="449" customFormat="1">
      <c r="B80" s="511" t="s">
        <v>147</v>
      </c>
      <c r="C80" s="512"/>
      <c r="D80" s="513">
        <v>37.5</v>
      </c>
      <c r="E80" s="208">
        <f t="shared" si="2"/>
        <v>0</v>
      </c>
      <c r="G80" s="590">
        <f>'Emission factors and lists'!$E$3</f>
        <v>0.63</v>
      </c>
      <c r="K80" s="595" t="s">
        <v>661</v>
      </c>
      <c r="L80" s="508"/>
      <c r="M80" s="508"/>
      <c r="N80" s="508"/>
    </row>
    <row r="81" spans="2:14" s="449" customFormat="1">
      <c r="B81" s="514" t="s">
        <v>279</v>
      </c>
      <c r="C81" s="512"/>
      <c r="D81" s="513">
        <v>52.1</v>
      </c>
      <c r="E81" s="208">
        <f t="shared" si="2"/>
        <v>0</v>
      </c>
      <c r="G81" s="590">
        <f>'Emission factors and lists'!$E$3</f>
        <v>0.63</v>
      </c>
      <c r="K81" s="595" t="s">
        <v>658</v>
      </c>
      <c r="L81" s="508"/>
      <c r="M81" s="508"/>
      <c r="N81" s="508"/>
    </row>
    <row r="82" spans="2:14" s="449" customFormat="1">
      <c r="B82" s="514" t="s">
        <v>281</v>
      </c>
      <c r="C82" s="512"/>
      <c r="D82" s="513">
        <v>18.75</v>
      </c>
      <c r="E82" s="208">
        <f t="shared" si="2"/>
        <v>0</v>
      </c>
      <c r="G82" s="590">
        <f>'Emission factors and lists'!$E$3</f>
        <v>0.63</v>
      </c>
    </row>
    <row r="83" spans="2:14" s="449" customFormat="1">
      <c r="B83" s="514" t="s">
        <v>282</v>
      </c>
      <c r="C83" s="512"/>
      <c r="D83" s="513">
        <v>58.6</v>
      </c>
      <c r="E83" s="208">
        <f t="shared" si="2"/>
        <v>0</v>
      </c>
      <c r="G83" s="590">
        <f>'Emission factors and lists'!$E$3</f>
        <v>0.63</v>
      </c>
    </row>
    <row r="84" spans="2:14" s="449" customFormat="1">
      <c r="B84" s="514" t="s">
        <v>280</v>
      </c>
      <c r="C84" s="512"/>
      <c r="D84" s="513">
        <v>81.400000000000006</v>
      </c>
      <c r="E84" s="208">
        <f t="shared" si="2"/>
        <v>0</v>
      </c>
      <c r="G84" s="590">
        <f>'Emission factors and lists'!$E$3</f>
        <v>0.63</v>
      </c>
    </row>
    <row r="85" spans="2:14" s="449" customFormat="1" ht="31">
      <c r="B85" s="511" t="s">
        <v>148</v>
      </c>
      <c r="C85" s="512"/>
      <c r="D85" s="513">
        <v>26.8</v>
      </c>
      <c r="E85" s="208">
        <f>D85*C85</f>
        <v>0</v>
      </c>
      <c r="G85" s="590">
        <f>'Emission factors and lists'!E4</f>
        <v>0.24399999999999999</v>
      </c>
    </row>
    <row r="86" spans="2:14" s="449" customFormat="1">
      <c r="B86" s="515" t="s">
        <v>283</v>
      </c>
      <c r="C86" s="512"/>
      <c r="D86" s="464">
        <v>7.1</v>
      </c>
      <c r="E86" s="208">
        <f t="shared" ref="E86:E90" si="3">D86*C86</f>
        <v>0</v>
      </c>
      <c r="G86" s="590">
        <f>'Emission factors and lists'!$E$5</f>
        <v>0.61</v>
      </c>
    </row>
    <row r="87" spans="2:14" s="449" customFormat="1">
      <c r="B87" s="515" t="s">
        <v>284</v>
      </c>
      <c r="C87" s="512"/>
      <c r="D87" s="464">
        <v>10.7</v>
      </c>
      <c r="E87" s="208">
        <f t="shared" si="3"/>
        <v>0</v>
      </c>
      <c r="G87" s="590">
        <f>'Emission factors and lists'!$E$5</f>
        <v>0.61</v>
      </c>
    </row>
    <row r="88" spans="2:14" s="449" customFormat="1">
      <c r="B88" s="515" t="s">
        <v>285</v>
      </c>
      <c r="C88" s="512"/>
      <c r="D88" s="516">
        <v>14</v>
      </c>
      <c r="E88" s="208">
        <f t="shared" si="3"/>
        <v>0</v>
      </c>
      <c r="G88" s="590">
        <f>'Emission factors and lists'!$E$5</f>
        <v>0.61</v>
      </c>
    </row>
    <row r="89" spans="2:14" s="449" customFormat="1">
      <c r="B89" s="515" t="s">
        <v>286</v>
      </c>
      <c r="C89" s="512"/>
      <c r="D89" s="464">
        <v>21.4</v>
      </c>
      <c r="E89" s="208">
        <f t="shared" si="3"/>
        <v>0</v>
      </c>
      <c r="G89" s="590">
        <f>'Emission factors and lists'!$E$5</f>
        <v>0.61</v>
      </c>
    </row>
    <row r="90" spans="2:14" s="449" customFormat="1">
      <c r="B90" s="515" t="s">
        <v>287</v>
      </c>
      <c r="C90" s="512"/>
      <c r="D90" s="516">
        <v>26.8</v>
      </c>
      <c r="E90" s="208">
        <f t="shared" si="3"/>
        <v>0</v>
      </c>
      <c r="G90" s="590">
        <f>'Emission factors and lists'!$E$5</f>
        <v>0.61</v>
      </c>
    </row>
    <row r="91" spans="2:14" s="449" customFormat="1">
      <c r="C91" s="517"/>
    </row>
    <row r="92" spans="2:14" s="449" customFormat="1">
      <c r="B92" s="503" t="s">
        <v>96</v>
      </c>
      <c r="C92" s="517"/>
    </row>
    <row r="93" spans="2:14" s="449" customFormat="1">
      <c r="B93" s="444" t="s">
        <v>97</v>
      </c>
      <c r="C93" s="444" t="s">
        <v>98</v>
      </c>
      <c r="D93" s="444" t="s">
        <v>99</v>
      </c>
      <c r="E93" s="444" t="s">
        <v>100</v>
      </c>
    </row>
    <row r="94" spans="2:14" s="449" customFormat="1">
      <c r="B94" s="512"/>
      <c r="C94" s="464">
        <v>50</v>
      </c>
      <c r="D94" s="464">
        <v>25</v>
      </c>
      <c r="E94" s="215">
        <f>B94*C94*D94/1000000000</f>
        <v>0</v>
      </c>
    </row>
    <row r="95" spans="2:14" s="449" customFormat="1">
      <c r="B95" s="512"/>
      <c r="C95" s="464">
        <v>75</v>
      </c>
      <c r="D95" s="464">
        <v>25</v>
      </c>
      <c r="E95" s="215">
        <f t="shared" ref="E95:E104" si="4">B95*C95*D95/1000000000</f>
        <v>0</v>
      </c>
    </row>
    <row r="96" spans="2:14" s="449" customFormat="1">
      <c r="B96" s="512"/>
      <c r="C96" s="464">
        <v>150</v>
      </c>
      <c r="D96" s="464">
        <v>25</v>
      </c>
      <c r="E96" s="215">
        <f t="shared" si="4"/>
        <v>0</v>
      </c>
    </row>
    <row r="97" spans="2:18" s="449" customFormat="1">
      <c r="B97" s="512"/>
      <c r="C97" s="464">
        <v>75</v>
      </c>
      <c r="D97" s="464">
        <v>32</v>
      </c>
      <c r="E97" s="215">
        <f t="shared" si="4"/>
        <v>0</v>
      </c>
    </row>
    <row r="98" spans="2:18" s="449" customFormat="1">
      <c r="B98" s="512"/>
      <c r="C98" s="464">
        <v>50</v>
      </c>
      <c r="D98" s="464">
        <v>50</v>
      </c>
      <c r="E98" s="215">
        <f t="shared" si="4"/>
        <v>0</v>
      </c>
    </row>
    <row r="99" spans="2:18" s="449" customFormat="1">
      <c r="B99" s="512"/>
      <c r="C99" s="464">
        <v>75</v>
      </c>
      <c r="D99" s="464">
        <v>50</v>
      </c>
      <c r="E99" s="215">
        <f t="shared" si="4"/>
        <v>0</v>
      </c>
    </row>
    <row r="100" spans="2:18" s="449" customFormat="1">
      <c r="B100" s="512"/>
      <c r="C100" s="464">
        <v>100</v>
      </c>
      <c r="D100" s="464">
        <v>25</v>
      </c>
      <c r="E100" s="215">
        <f t="shared" si="4"/>
        <v>0</v>
      </c>
    </row>
    <row r="101" spans="2:18" s="449" customFormat="1">
      <c r="B101" s="512"/>
      <c r="C101" s="512"/>
      <c r="D101" s="512"/>
      <c r="E101" s="215">
        <f t="shared" si="4"/>
        <v>0</v>
      </c>
    </row>
    <row r="102" spans="2:18" s="449" customFormat="1">
      <c r="B102" s="512"/>
      <c r="C102" s="512"/>
      <c r="D102" s="512"/>
      <c r="E102" s="215">
        <f t="shared" si="4"/>
        <v>0</v>
      </c>
    </row>
    <row r="103" spans="2:18" s="449" customFormat="1">
      <c r="B103" s="512"/>
      <c r="C103" s="512"/>
      <c r="D103" s="512"/>
      <c r="E103" s="215">
        <f t="shared" si="4"/>
        <v>0</v>
      </c>
    </row>
    <row r="104" spans="2:18" s="449" customFormat="1">
      <c r="B104" s="512"/>
      <c r="C104" s="512"/>
      <c r="D104" s="512"/>
      <c r="E104" s="215">
        <f t="shared" si="4"/>
        <v>0</v>
      </c>
    </row>
    <row r="105" spans="2:18" s="449" customFormat="1">
      <c r="B105" s="464"/>
      <c r="C105" s="464"/>
      <c r="D105" s="518" t="s">
        <v>101</v>
      </c>
      <c r="E105" s="221">
        <f>SUM(E94:E104)</f>
        <v>0</v>
      </c>
    </row>
    <row r="106" spans="2:18" s="449" customFormat="1">
      <c r="C106" s="517"/>
    </row>
    <row r="107" spans="2:18" s="449" customFormat="1">
      <c r="B107" s="503" t="s">
        <v>104</v>
      </c>
      <c r="C107" s="444" t="s">
        <v>86</v>
      </c>
      <c r="D107" s="444" t="s">
        <v>87</v>
      </c>
      <c r="E107" s="444" t="s">
        <v>85</v>
      </c>
      <c r="G107" s="591" t="s">
        <v>632</v>
      </c>
    </row>
    <row r="108" spans="2:18" s="449" customFormat="1">
      <c r="B108" s="519" t="s">
        <v>88</v>
      </c>
      <c r="C108" s="512"/>
      <c r="D108" s="464">
        <v>400</v>
      </c>
      <c r="E108" s="208">
        <f>D108*C108</f>
        <v>0</v>
      </c>
      <c r="G108" s="590">
        <f>'Emission factors and lists'!E6</f>
        <v>0.24099999999999999</v>
      </c>
      <c r="I108" s="470"/>
      <c r="R108" s="464"/>
    </row>
    <row r="109" spans="2:18" s="449" customFormat="1">
      <c r="B109" s="519" t="s">
        <v>89</v>
      </c>
      <c r="C109" s="512"/>
      <c r="D109" s="464">
        <v>400</v>
      </c>
      <c r="E109" s="208">
        <f>D109*C109</f>
        <v>0</v>
      </c>
      <c r="G109" s="590">
        <f>'Emission factors and lists'!E7</f>
        <v>0.26300000000000001</v>
      </c>
      <c r="I109" s="470"/>
      <c r="R109" s="464"/>
    </row>
    <row r="110" spans="2:18" s="449" customFormat="1">
      <c r="B110" s="519" t="s">
        <v>90</v>
      </c>
      <c r="C110" s="520"/>
      <c r="D110" s="464">
        <v>675</v>
      </c>
      <c r="E110" s="208">
        <f>D110*C110</f>
        <v>0</v>
      </c>
      <c r="G110" s="590">
        <f>'Emission factors and lists'!E8</f>
        <v>0.28399999999999997</v>
      </c>
      <c r="I110" s="470"/>
      <c r="R110" s="464"/>
    </row>
    <row r="111" spans="2:18" s="449" customFormat="1">
      <c r="B111" s="519" t="s">
        <v>91</v>
      </c>
      <c r="C111" s="512"/>
      <c r="D111" s="464">
        <v>675</v>
      </c>
      <c r="E111" s="208">
        <f>D111*C111</f>
        <v>0</v>
      </c>
      <c r="G111" s="590">
        <f>'Emission factors and lists'!E9</f>
        <v>0.30599999999999999</v>
      </c>
      <c r="I111" s="470"/>
      <c r="R111" s="464"/>
    </row>
    <row r="112" spans="2:18" s="449" customFormat="1">
      <c r="C112" s="517"/>
      <c r="G112" s="445" t="s">
        <v>180</v>
      </c>
    </row>
    <row r="113" spans="2:7" s="449" customFormat="1">
      <c r="B113" s="503" t="s">
        <v>102</v>
      </c>
      <c r="C113" s="517"/>
    </row>
    <row r="114" spans="2:7" s="449" customFormat="1" ht="38" customHeight="1">
      <c r="B114" s="813" t="s">
        <v>192</v>
      </c>
      <c r="C114" s="795"/>
      <c r="D114" s="813"/>
      <c r="E114" s="813"/>
    </row>
    <row r="115" spans="2:7" s="449" customFormat="1">
      <c r="B115" s="503"/>
      <c r="C115" s="561" t="s">
        <v>249</v>
      </c>
      <c r="D115" s="444" t="s">
        <v>105</v>
      </c>
      <c r="E115" s="444" t="s">
        <v>85</v>
      </c>
      <c r="G115" s="591" t="s">
        <v>632</v>
      </c>
    </row>
    <row r="116" spans="2:7" s="449" customFormat="1">
      <c r="B116" s="521" t="s">
        <v>256</v>
      </c>
      <c r="C116" s="520"/>
      <c r="D116" s="522">
        <v>4.1500000000000004</v>
      </c>
      <c r="E116" s="208">
        <f>C116*D116</f>
        <v>0</v>
      </c>
      <c r="G116" s="590">
        <f>'Emission factors and lists'!$E$10</f>
        <v>2.46</v>
      </c>
    </row>
    <row r="117" spans="2:7" s="449" customFormat="1">
      <c r="B117" s="521" t="s">
        <v>257</v>
      </c>
      <c r="C117" s="520"/>
      <c r="D117" s="522">
        <v>5.31</v>
      </c>
      <c r="E117" s="208">
        <f t="shared" ref="E117:E137" si="5">C117*D117</f>
        <v>0</v>
      </c>
      <c r="G117" s="590">
        <f>'Emission factors and lists'!$E$10</f>
        <v>2.46</v>
      </c>
    </row>
    <row r="118" spans="2:7" s="449" customFormat="1">
      <c r="B118" s="521" t="s">
        <v>258</v>
      </c>
      <c r="C118" s="520"/>
      <c r="D118" s="522">
        <v>6.83</v>
      </c>
      <c r="E118" s="208">
        <f t="shared" si="5"/>
        <v>0</v>
      </c>
      <c r="G118" s="590">
        <f>'Emission factors and lists'!$E$10</f>
        <v>2.46</v>
      </c>
    </row>
    <row r="119" spans="2:7" s="449" customFormat="1">
      <c r="B119" s="521" t="s">
        <v>259</v>
      </c>
      <c r="C119" s="520"/>
      <c r="D119" s="522">
        <v>10.92</v>
      </c>
      <c r="E119" s="208">
        <f t="shared" si="5"/>
        <v>0</v>
      </c>
      <c r="G119" s="590">
        <f>'Emission factors and lists'!$E$10</f>
        <v>2.46</v>
      </c>
    </row>
    <row r="120" spans="2:7" s="449" customFormat="1">
      <c r="B120" s="521" t="s">
        <v>260</v>
      </c>
      <c r="C120" s="520"/>
      <c r="D120" s="522">
        <v>23.25</v>
      </c>
      <c r="E120" s="208">
        <f t="shared" si="5"/>
        <v>0</v>
      </c>
      <c r="G120" s="590">
        <f>'Emission factors and lists'!$E$10</f>
        <v>2.46</v>
      </c>
    </row>
    <row r="121" spans="2:7" s="449" customFormat="1">
      <c r="B121" s="521" t="s">
        <v>261</v>
      </c>
      <c r="C121" s="520"/>
      <c r="D121" s="522">
        <v>13.85</v>
      </c>
      <c r="E121" s="208">
        <f t="shared" si="5"/>
        <v>0</v>
      </c>
      <c r="G121" s="590">
        <f>'Emission factors and lists'!$E$10</f>
        <v>2.46</v>
      </c>
    </row>
    <row r="122" spans="2:7" s="449" customFormat="1">
      <c r="B122" s="521" t="s">
        <v>262</v>
      </c>
      <c r="C122" s="520"/>
      <c r="D122" s="522">
        <v>26.23</v>
      </c>
      <c r="E122" s="208">
        <f t="shared" si="5"/>
        <v>0</v>
      </c>
      <c r="G122" s="590">
        <f>'Emission factors and lists'!$E$10</f>
        <v>2.46</v>
      </c>
    </row>
    <row r="123" spans="2:7" s="449" customFormat="1">
      <c r="B123" s="521" t="s">
        <v>263</v>
      </c>
      <c r="C123" s="520"/>
      <c r="D123" s="522">
        <v>5.45</v>
      </c>
      <c r="E123" s="208">
        <f t="shared" si="5"/>
        <v>0</v>
      </c>
      <c r="G123" s="590">
        <f>'Emission factors and lists'!$E$10</f>
        <v>2.46</v>
      </c>
    </row>
    <row r="124" spans="2:7" s="449" customFormat="1">
      <c r="B124" s="521" t="s">
        <v>264</v>
      </c>
      <c r="C124" s="520"/>
      <c r="D124" s="523">
        <v>8.24</v>
      </c>
      <c r="E124" s="208">
        <f t="shared" si="5"/>
        <v>0</v>
      </c>
      <c r="G124" s="590">
        <f>'Emission factors and lists'!$E$10</f>
        <v>2.46</v>
      </c>
    </row>
    <row r="125" spans="2:7" s="449" customFormat="1">
      <c r="B125" s="521" t="s">
        <v>265</v>
      </c>
      <c r="C125" s="520"/>
      <c r="D125" s="523">
        <v>10.49</v>
      </c>
      <c r="E125" s="208">
        <f t="shared" si="5"/>
        <v>0</v>
      </c>
      <c r="G125" s="590">
        <f>'Emission factors and lists'!$E$10</f>
        <v>2.46</v>
      </c>
    </row>
    <row r="126" spans="2:7" s="449" customFormat="1">
      <c r="B126" s="521" t="s">
        <v>266</v>
      </c>
      <c r="C126" s="520"/>
      <c r="D126" s="523">
        <v>13.91</v>
      </c>
      <c r="E126" s="208">
        <f t="shared" si="5"/>
        <v>0</v>
      </c>
      <c r="G126" s="590">
        <f>'Emission factors and lists'!$E$10</f>
        <v>2.46</v>
      </c>
    </row>
    <row r="127" spans="2:7" s="449" customFormat="1">
      <c r="B127" s="521" t="s">
        <v>267</v>
      </c>
      <c r="C127" s="520"/>
      <c r="D127" s="523">
        <v>11.59</v>
      </c>
      <c r="E127" s="208">
        <f t="shared" si="5"/>
        <v>0</v>
      </c>
      <c r="G127" s="590">
        <f>'Emission factors and lists'!$E$10</f>
        <v>2.46</v>
      </c>
    </row>
    <row r="128" spans="2:7" s="449" customFormat="1">
      <c r="B128" s="521" t="s">
        <v>268</v>
      </c>
      <c r="C128" s="520"/>
      <c r="D128" s="523">
        <v>21.35</v>
      </c>
      <c r="E128" s="208">
        <f t="shared" si="5"/>
        <v>0</v>
      </c>
      <c r="G128" s="590">
        <f>'Emission factors and lists'!$E$10</f>
        <v>2.46</v>
      </c>
    </row>
    <row r="129" spans="2:10" s="449" customFormat="1">
      <c r="B129" s="521" t="s">
        <v>269</v>
      </c>
      <c r="C129" s="520"/>
      <c r="D129" s="523">
        <v>7.17</v>
      </c>
      <c r="E129" s="208">
        <f t="shared" si="5"/>
        <v>0</v>
      </c>
      <c r="G129" s="590">
        <f>'Emission factors and lists'!$E$10</f>
        <v>2.46</v>
      </c>
    </row>
    <row r="130" spans="2:10" s="449" customFormat="1">
      <c r="B130" s="521" t="s">
        <v>270</v>
      </c>
      <c r="C130" s="520"/>
      <c r="D130" s="523">
        <v>11.39</v>
      </c>
      <c r="E130" s="208">
        <f t="shared" si="5"/>
        <v>0</v>
      </c>
      <c r="G130" s="590">
        <f>'Emission factors and lists'!$E$10</f>
        <v>2.46</v>
      </c>
    </row>
    <row r="131" spans="2:10" s="449" customFormat="1">
      <c r="B131" s="521" t="s">
        <v>271</v>
      </c>
      <c r="C131" s="520"/>
      <c r="D131" s="523">
        <v>15.49</v>
      </c>
      <c r="E131" s="208">
        <f t="shared" si="5"/>
        <v>0</v>
      </c>
      <c r="G131" s="590">
        <f>'Emission factors and lists'!$E$10</f>
        <v>2.46</v>
      </c>
    </row>
    <row r="132" spans="2:10" s="449" customFormat="1">
      <c r="B132" s="521" t="s">
        <v>272</v>
      </c>
      <c r="C132" s="520"/>
      <c r="D132" s="523">
        <v>29.25</v>
      </c>
      <c r="E132" s="208">
        <f t="shared" si="5"/>
        <v>0</v>
      </c>
      <c r="G132" s="590">
        <f>'Emission factors and lists'!$E$10</f>
        <v>2.46</v>
      </c>
    </row>
    <row r="133" spans="2:10" s="449" customFormat="1">
      <c r="B133" s="521" t="s">
        <v>273</v>
      </c>
      <c r="C133" s="520"/>
      <c r="D133" s="523">
        <v>10.050000000000001</v>
      </c>
      <c r="E133" s="208">
        <f t="shared" si="5"/>
        <v>0</v>
      </c>
      <c r="G133" s="590">
        <f>'Emission factors and lists'!$E$10</f>
        <v>2.46</v>
      </c>
    </row>
    <row r="134" spans="2:10" s="449" customFormat="1">
      <c r="B134" s="521" t="s">
        <v>274</v>
      </c>
      <c r="C134" s="520"/>
      <c r="D134" s="523">
        <v>15.1</v>
      </c>
      <c r="E134" s="208">
        <f t="shared" si="5"/>
        <v>0</v>
      </c>
      <c r="G134" s="590">
        <f>'Emission factors and lists'!$E$10</f>
        <v>2.46</v>
      </c>
    </row>
    <row r="135" spans="2:10" s="449" customFormat="1">
      <c r="B135" s="521" t="s">
        <v>275</v>
      </c>
      <c r="C135" s="520"/>
      <c r="D135" s="523">
        <v>55.3</v>
      </c>
      <c r="E135" s="208">
        <f t="shared" si="5"/>
        <v>0</v>
      </c>
      <c r="G135" s="590">
        <f>'Emission factors and lists'!$E$10</f>
        <v>2.46</v>
      </c>
    </row>
    <row r="136" spans="2:10" s="449" customFormat="1">
      <c r="B136" s="521" t="s">
        <v>276</v>
      </c>
      <c r="C136" s="520"/>
      <c r="D136" s="523">
        <v>6.59</v>
      </c>
      <c r="E136" s="208">
        <f t="shared" si="5"/>
        <v>0</v>
      </c>
      <c r="G136" s="590">
        <f>'Emission factors and lists'!$E$10</f>
        <v>2.46</v>
      </c>
    </row>
    <row r="137" spans="2:10" s="449" customFormat="1">
      <c r="B137" s="521" t="s">
        <v>277</v>
      </c>
      <c r="C137" s="520"/>
      <c r="D137" s="523">
        <v>30.17</v>
      </c>
      <c r="E137" s="208">
        <f t="shared" si="5"/>
        <v>0</v>
      </c>
      <c r="G137" s="590">
        <f>'Emission factors and lists'!$E$10</f>
        <v>2.46</v>
      </c>
    </row>
    <row r="138" spans="2:10" s="449" customFormat="1">
      <c r="C138" s="517"/>
      <c r="D138" s="518" t="s">
        <v>85</v>
      </c>
      <c r="E138" s="61">
        <f>SUM(E116:E137)</f>
        <v>0</v>
      </c>
      <c r="G138" s="590">
        <f>'Emission factors and lists'!$E$10</f>
        <v>2.46</v>
      </c>
    </row>
    <row r="139" spans="2:10" s="449" customFormat="1">
      <c r="C139" s="517"/>
      <c r="G139" s="445" t="s">
        <v>180</v>
      </c>
    </row>
    <row r="140" spans="2:10" s="449" customFormat="1">
      <c r="B140" s="503" t="s">
        <v>103</v>
      </c>
      <c r="C140" s="517"/>
      <c r="G140" s="843"/>
      <c r="H140" s="843"/>
    </row>
    <row r="141" spans="2:10" s="449" customFormat="1">
      <c r="B141" s="503"/>
      <c r="C141" s="561" t="s">
        <v>249</v>
      </c>
      <c r="D141" s="444" t="s">
        <v>105</v>
      </c>
      <c r="E141" s="444" t="s">
        <v>85</v>
      </c>
      <c r="G141" s="591" t="s">
        <v>632</v>
      </c>
      <c r="H141" s="517"/>
    </row>
    <row r="142" spans="2:10">
      <c r="B142" s="515" t="s">
        <v>253</v>
      </c>
      <c r="C142" s="520"/>
      <c r="D142" s="464">
        <v>1.2</v>
      </c>
      <c r="E142" s="216">
        <f t="shared" ref="E142:E144" si="6">C142*D142</f>
        <v>0</v>
      </c>
      <c r="G142" s="590">
        <f>'Emission factors and lists'!$E$11</f>
        <v>6.67</v>
      </c>
      <c r="H142" s="517"/>
      <c r="J142" s="517"/>
    </row>
    <row r="143" spans="2:10">
      <c r="B143" s="515" t="s">
        <v>254</v>
      </c>
      <c r="C143" s="520"/>
      <c r="D143" s="464">
        <v>0.8</v>
      </c>
      <c r="E143" s="216">
        <f t="shared" si="6"/>
        <v>0</v>
      </c>
      <c r="G143" s="590">
        <f>'Emission factors and lists'!$E$11</f>
        <v>6.67</v>
      </c>
      <c r="H143" s="517"/>
    </row>
    <row r="144" spans="2:10">
      <c r="B144" s="515" t="s">
        <v>251</v>
      </c>
      <c r="C144" s="520"/>
      <c r="D144" s="464">
        <v>0.87</v>
      </c>
      <c r="E144" s="216">
        <f t="shared" si="6"/>
        <v>0</v>
      </c>
      <c r="G144" s="590">
        <f>'Emission factors and lists'!$E$11</f>
        <v>6.67</v>
      </c>
      <c r="H144" s="517"/>
    </row>
    <row r="145" spans="2:8">
      <c r="B145" s="515" t="s">
        <v>250</v>
      </c>
      <c r="C145" s="520"/>
      <c r="D145" s="464">
        <v>0.67</v>
      </c>
      <c r="E145" s="216">
        <f>C145*D145</f>
        <v>0</v>
      </c>
      <c r="G145" s="590">
        <f>'Emission factors and lists'!$E$11</f>
        <v>6.67</v>
      </c>
      <c r="H145" s="517"/>
    </row>
    <row r="146" spans="2:8">
      <c r="B146" s="515" t="s">
        <v>252</v>
      </c>
      <c r="C146" s="520"/>
      <c r="D146" s="464">
        <v>0.42</v>
      </c>
      <c r="E146" s="216">
        <f t="shared" ref="E146:E149" si="7">C146*D146</f>
        <v>0</v>
      </c>
      <c r="G146" s="590">
        <f>'Emission factors and lists'!$E$11</f>
        <v>6.67</v>
      </c>
      <c r="H146" s="517"/>
    </row>
    <row r="147" spans="2:8">
      <c r="B147" s="515" t="s">
        <v>255</v>
      </c>
      <c r="C147" s="520"/>
      <c r="D147" s="524">
        <v>0.29499999999999998</v>
      </c>
      <c r="E147" s="216">
        <f t="shared" si="7"/>
        <v>0</v>
      </c>
      <c r="G147" s="590">
        <f>'Emission factors and lists'!$E$11</f>
        <v>6.67</v>
      </c>
      <c r="H147" s="517"/>
    </row>
    <row r="148" spans="2:8">
      <c r="B148" s="521" t="s">
        <v>310</v>
      </c>
      <c r="C148" s="520"/>
      <c r="D148" s="525">
        <v>1.73</v>
      </c>
      <c r="E148" s="216">
        <f t="shared" si="7"/>
        <v>0</v>
      </c>
      <c r="G148" s="590">
        <f>'Emission factors and lists'!$E$11</f>
        <v>6.67</v>
      </c>
      <c r="H148" s="517"/>
    </row>
    <row r="149" spans="2:8">
      <c r="B149" s="521" t="s">
        <v>306</v>
      </c>
      <c r="C149" s="520"/>
      <c r="D149" s="525">
        <v>2.63</v>
      </c>
      <c r="E149" s="216">
        <f t="shared" si="7"/>
        <v>0</v>
      </c>
      <c r="G149" s="590">
        <f>'Emission factors and lists'!$E$11</f>
        <v>6.67</v>
      </c>
      <c r="H149" s="517"/>
    </row>
    <row r="150" spans="2:8">
      <c r="B150" s="521" t="s">
        <v>307</v>
      </c>
      <c r="C150" s="520"/>
      <c r="D150" s="525">
        <v>0.92</v>
      </c>
      <c r="E150" s="216">
        <f t="shared" ref="E150:E152" si="8">C150*D150</f>
        <v>0</v>
      </c>
      <c r="G150" s="590">
        <f>'Emission factors and lists'!$E$11</f>
        <v>6.67</v>
      </c>
      <c r="H150" s="517"/>
    </row>
    <row r="151" spans="2:8">
      <c r="B151" s="521" t="s">
        <v>308</v>
      </c>
      <c r="C151" s="520"/>
      <c r="D151" s="525">
        <v>0.33</v>
      </c>
      <c r="E151" s="216">
        <f t="shared" si="8"/>
        <v>0</v>
      </c>
      <c r="G151" s="590">
        <f>'Emission factors and lists'!$E$11</f>
        <v>6.67</v>
      </c>
      <c r="H151" s="517"/>
    </row>
    <row r="152" spans="2:8">
      <c r="B152" s="521" t="s">
        <v>309</v>
      </c>
      <c r="C152" s="520"/>
      <c r="D152" s="525">
        <v>0.44</v>
      </c>
      <c r="E152" s="216">
        <f t="shared" si="8"/>
        <v>0</v>
      </c>
      <c r="G152" s="590">
        <f>'Emission factors and lists'!$E$11</f>
        <v>6.67</v>
      </c>
      <c r="H152" s="517"/>
    </row>
    <row r="153" spans="2:8">
      <c r="C153" s="517"/>
      <c r="D153" s="518" t="s">
        <v>85</v>
      </c>
      <c r="E153" s="61">
        <f>SUM(E142:E152)</f>
        <v>0</v>
      </c>
      <c r="G153" s="590">
        <f>'Emission factors and lists'!$E$11</f>
        <v>6.67</v>
      </c>
      <c r="H153" s="517"/>
    </row>
    <row r="154" spans="2:8">
      <c r="C154" s="517"/>
      <c r="G154" s="445" t="s">
        <v>180</v>
      </c>
      <c r="H154" s="517"/>
    </row>
    <row r="155" spans="2:8">
      <c r="B155" s="441" t="s">
        <v>631</v>
      </c>
      <c r="C155" s="442"/>
      <c r="G155" s="509"/>
      <c r="H155" s="517"/>
    </row>
    <row r="156" spans="2:8">
      <c r="B156" s="443"/>
      <c r="C156" s="444" t="s">
        <v>632</v>
      </c>
      <c r="G156" s="509"/>
      <c r="H156" s="509"/>
    </row>
    <row r="157" spans="2:8">
      <c r="B157" s="443" t="s">
        <v>633</v>
      </c>
      <c r="C157" s="553">
        <f>'Emission factors and lists'!E19</f>
        <v>6.67</v>
      </c>
      <c r="G157" s="509"/>
      <c r="H157" s="509"/>
    </row>
    <row r="158" spans="2:8">
      <c r="B158" s="443" t="s">
        <v>584</v>
      </c>
      <c r="C158" s="553">
        <f>'Emission factors and lists'!E20</f>
        <v>5.58</v>
      </c>
      <c r="G158" s="509"/>
      <c r="H158" s="509"/>
    </row>
    <row r="159" spans="2:8">
      <c r="B159" s="443" t="s">
        <v>586</v>
      </c>
      <c r="C159" s="553">
        <f>'Emission factors and lists'!E21</f>
        <v>13.06</v>
      </c>
      <c r="G159" s="509"/>
      <c r="H159" s="509"/>
    </row>
    <row r="160" spans="2:8">
      <c r="B160" s="443"/>
      <c r="C160" s="445" t="s">
        <v>180</v>
      </c>
      <c r="G160" s="509"/>
      <c r="H160" s="509"/>
    </row>
    <row r="161" spans="2:8">
      <c r="B161" s="443"/>
      <c r="C161" s="446"/>
      <c r="G161" s="509"/>
      <c r="H161" s="509"/>
    </row>
    <row r="162" spans="2:8">
      <c r="B162" s="503" t="s">
        <v>288</v>
      </c>
      <c r="C162" s="517"/>
      <c r="G162" s="509"/>
      <c r="H162" s="509"/>
    </row>
    <row r="163" spans="2:8">
      <c r="C163" s="444" t="s">
        <v>94</v>
      </c>
      <c r="D163" s="444" t="s">
        <v>95</v>
      </c>
      <c r="E163" s="444" t="s">
        <v>85</v>
      </c>
      <c r="G163" s="591" t="s">
        <v>632</v>
      </c>
      <c r="H163" s="509"/>
    </row>
    <row r="164" spans="2:8">
      <c r="B164" s="521" t="s">
        <v>289</v>
      </c>
      <c r="C164" s="512"/>
      <c r="D164" s="525">
        <v>16.399999999999999</v>
      </c>
      <c r="E164" s="208">
        <f t="shared" ref="E164:E177" si="9">D164*C164</f>
        <v>0</v>
      </c>
      <c r="G164" s="590">
        <f>'Emission factors and lists'!$E$14</f>
        <v>3.2639999999999998</v>
      </c>
      <c r="H164" s="509"/>
    </row>
    <row r="165" spans="2:8">
      <c r="B165" s="521" t="s">
        <v>290</v>
      </c>
      <c r="C165" s="512"/>
      <c r="D165" s="525">
        <v>21.4</v>
      </c>
      <c r="E165" s="208">
        <f t="shared" si="9"/>
        <v>0</v>
      </c>
      <c r="G165" s="590">
        <f>'Emission factors and lists'!$E$14</f>
        <v>3.2639999999999998</v>
      </c>
      <c r="H165" s="509"/>
    </row>
    <row r="166" spans="2:8">
      <c r="B166" s="521" t="s">
        <v>291</v>
      </c>
      <c r="C166" s="512"/>
      <c r="D166" s="525">
        <v>5</v>
      </c>
      <c r="E166" s="208">
        <f t="shared" si="9"/>
        <v>0</v>
      </c>
      <c r="G166" s="590">
        <f>'Emission factors and lists'!$E$14</f>
        <v>3.2639999999999998</v>
      </c>
      <c r="H166" s="509"/>
    </row>
    <row r="167" spans="2:8">
      <c r="B167" s="521" t="s">
        <v>292</v>
      </c>
      <c r="C167" s="512"/>
      <c r="D167" s="525">
        <v>18.3</v>
      </c>
      <c r="E167" s="208">
        <f t="shared" si="9"/>
        <v>0</v>
      </c>
      <c r="G167" s="590">
        <f>'Emission factors and lists'!$E$15</f>
        <v>3.2639999999999998</v>
      </c>
      <c r="H167" s="509"/>
    </row>
    <row r="168" spans="2:8">
      <c r="B168" s="521" t="s">
        <v>293</v>
      </c>
      <c r="C168" s="512"/>
      <c r="D168" s="525">
        <v>48.8</v>
      </c>
      <c r="E168" s="208">
        <f t="shared" si="9"/>
        <v>0</v>
      </c>
      <c r="G168" s="590">
        <f>'Emission factors and lists'!$E$15</f>
        <v>3.2639999999999998</v>
      </c>
      <c r="H168" s="509"/>
    </row>
    <row r="169" spans="2:8">
      <c r="B169" s="521" t="s">
        <v>294</v>
      </c>
      <c r="C169" s="512"/>
      <c r="D169" s="525">
        <v>60</v>
      </c>
      <c r="E169" s="208">
        <f t="shared" si="9"/>
        <v>0</v>
      </c>
      <c r="G169" s="590">
        <f>'Emission factors and lists'!$E$15</f>
        <v>3.2639999999999998</v>
      </c>
      <c r="H169" s="509"/>
    </row>
    <row r="170" spans="2:8">
      <c r="B170" s="521" t="s">
        <v>295</v>
      </c>
      <c r="C170" s="512"/>
      <c r="D170" s="525">
        <v>10</v>
      </c>
      <c r="E170" s="208">
        <f t="shared" si="9"/>
        <v>0</v>
      </c>
      <c r="G170" s="590">
        <f>'Emission factors and lists'!E16</f>
        <v>3.2639999999999998</v>
      </c>
      <c r="H170" s="509"/>
    </row>
    <row r="171" spans="2:8">
      <c r="B171" s="521" t="s">
        <v>296</v>
      </c>
      <c r="C171" s="512"/>
      <c r="D171" s="525">
        <v>1.1100000000000001</v>
      </c>
      <c r="E171" s="208">
        <f t="shared" si="9"/>
        <v>0</v>
      </c>
      <c r="G171" s="590">
        <f>'Emission factors and lists'!$E$13</f>
        <v>3.7639999999999998</v>
      </c>
      <c r="H171" s="509"/>
    </row>
    <row r="172" spans="2:8">
      <c r="B172" s="521" t="s">
        <v>297</v>
      </c>
      <c r="C172" s="512"/>
      <c r="D172" s="525">
        <v>2.23</v>
      </c>
      <c r="E172" s="208">
        <f t="shared" si="9"/>
        <v>0</v>
      </c>
      <c r="G172" s="590">
        <f>'Emission factors and lists'!$E$13</f>
        <v>3.7639999999999998</v>
      </c>
      <c r="H172" s="509"/>
    </row>
    <row r="173" spans="2:8">
      <c r="B173" s="521" t="s">
        <v>298</v>
      </c>
      <c r="C173" s="512"/>
      <c r="D173" s="525">
        <v>3.35</v>
      </c>
      <c r="E173" s="208">
        <f t="shared" si="9"/>
        <v>0</v>
      </c>
      <c r="G173" s="590">
        <f>'Emission factors and lists'!$E$13</f>
        <v>3.7639999999999998</v>
      </c>
      <c r="H173" s="509"/>
    </row>
    <row r="174" spans="2:8">
      <c r="B174" s="521" t="s">
        <v>299</v>
      </c>
      <c r="C174" s="512"/>
      <c r="D174" s="525">
        <v>6.69</v>
      </c>
      <c r="E174" s="208">
        <f t="shared" si="9"/>
        <v>0</v>
      </c>
      <c r="G174" s="590">
        <f>'Emission factors and lists'!$E$13</f>
        <v>3.7639999999999998</v>
      </c>
      <c r="H174" s="509"/>
    </row>
    <row r="175" spans="2:8">
      <c r="B175" s="521" t="s">
        <v>300</v>
      </c>
      <c r="C175" s="512"/>
      <c r="D175" s="525">
        <v>13.38</v>
      </c>
      <c r="E175" s="208">
        <f t="shared" si="9"/>
        <v>0</v>
      </c>
      <c r="G175" s="590">
        <f>'Emission factors and lists'!$E$13</f>
        <v>3.7639999999999998</v>
      </c>
      <c r="H175" s="509"/>
    </row>
    <row r="176" spans="2:8">
      <c r="B176" s="521" t="s">
        <v>301</v>
      </c>
      <c r="C176" s="512"/>
      <c r="D176" s="525">
        <v>0.33</v>
      </c>
      <c r="E176" s="208">
        <f t="shared" si="9"/>
        <v>0</v>
      </c>
      <c r="G176" s="590">
        <f>'Emission factors and lists'!$E$17</f>
        <v>4.3899999999999997</v>
      </c>
      <c r="H176" s="509"/>
    </row>
    <row r="177" spans="2:8">
      <c r="B177" s="521" t="s">
        <v>302</v>
      </c>
      <c r="C177" s="512"/>
      <c r="D177" s="525">
        <v>0.68</v>
      </c>
      <c r="E177" s="208">
        <f t="shared" si="9"/>
        <v>0</v>
      </c>
      <c r="G177" s="590">
        <f>'Emission factors and lists'!$E$17</f>
        <v>4.3899999999999997</v>
      </c>
      <c r="H177" s="509"/>
    </row>
    <row r="178" spans="2:8">
      <c r="B178" s="521" t="s">
        <v>303</v>
      </c>
      <c r="C178" s="512"/>
      <c r="D178" s="525">
        <v>1.35</v>
      </c>
      <c r="E178" s="208">
        <f>D178*C178</f>
        <v>0</v>
      </c>
      <c r="G178" s="590">
        <f>'Emission factors and lists'!$E$17</f>
        <v>4.3899999999999997</v>
      </c>
      <c r="H178" s="509"/>
    </row>
    <row r="179" spans="2:8">
      <c r="B179" s="521" t="s">
        <v>304</v>
      </c>
      <c r="C179" s="512"/>
      <c r="D179" s="525">
        <v>1</v>
      </c>
      <c r="E179" s="208">
        <f t="shared" ref="E179:E180" si="10">D179*C179</f>
        <v>0</v>
      </c>
      <c r="G179" s="590">
        <f>'Emission factors and lists'!$E$18</f>
        <v>4.84</v>
      </c>
      <c r="H179" s="509"/>
    </row>
    <row r="180" spans="2:8">
      <c r="B180" s="521" t="s">
        <v>305</v>
      </c>
      <c r="C180" s="512"/>
      <c r="D180" s="525">
        <v>2</v>
      </c>
      <c r="E180" s="208">
        <f t="shared" si="10"/>
        <v>0</v>
      </c>
      <c r="G180" s="590">
        <f>'Emission factors and lists'!$E$18</f>
        <v>4.84</v>
      </c>
      <c r="H180" s="509"/>
    </row>
    <row r="181" spans="2:8">
      <c r="G181" s="509"/>
      <c r="H181" s="509"/>
    </row>
    <row r="182" spans="2:8">
      <c r="B182" s="503" t="s">
        <v>137</v>
      </c>
      <c r="H182" s="509"/>
    </row>
    <row r="183" spans="2:8">
      <c r="E183" s="444" t="s">
        <v>85</v>
      </c>
    </row>
    <row r="184" spans="2:8">
      <c r="B184" s="526" t="s">
        <v>138</v>
      </c>
      <c r="C184" s="527" t="s">
        <v>139</v>
      </c>
      <c r="D184" s="528"/>
      <c r="E184" s="462">
        <v>175</v>
      </c>
    </row>
    <row r="185" spans="2:8">
      <c r="B185" s="529"/>
      <c r="C185" s="530" t="s">
        <v>426</v>
      </c>
      <c r="D185" s="531"/>
      <c r="E185" s="532">
        <v>135</v>
      </c>
    </row>
    <row r="186" spans="2:8">
      <c r="B186" s="533" t="s">
        <v>140</v>
      </c>
      <c r="C186" s="534" t="s">
        <v>142</v>
      </c>
      <c r="D186" s="535"/>
      <c r="E186" s="536">
        <v>40</v>
      </c>
    </row>
    <row r="187" spans="2:8">
      <c r="B187" s="529"/>
      <c r="C187" s="537" t="s">
        <v>143</v>
      </c>
      <c r="D187" s="538"/>
      <c r="E187" s="462">
        <v>25</v>
      </c>
    </row>
    <row r="188" spans="2:8">
      <c r="B188" s="533" t="s">
        <v>141</v>
      </c>
      <c r="C188" s="539" t="s">
        <v>246</v>
      </c>
      <c r="D188" s="540"/>
      <c r="E188" s="541">
        <v>75</v>
      </c>
    </row>
    <row r="189" spans="2:8">
      <c r="B189" s="529"/>
      <c r="C189" s="542" t="s">
        <v>247</v>
      </c>
      <c r="D189" s="538"/>
      <c r="E189" s="462">
        <v>20</v>
      </c>
    </row>
    <row r="190" spans="2:8">
      <c r="B190" s="543" t="s">
        <v>242</v>
      </c>
      <c r="C190" s="544" t="s">
        <v>248</v>
      </c>
      <c r="D190" s="545"/>
      <c r="E190" s="462">
        <v>1.5</v>
      </c>
    </row>
    <row r="191" spans="2:8">
      <c r="B191" s="546" t="s">
        <v>221</v>
      </c>
      <c r="C191" s="539" t="s">
        <v>243</v>
      </c>
      <c r="D191" s="540"/>
      <c r="E191" s="541">
        <v>40</v>
      </c>
    </row>
    <row r="192" spans="2:8">
      <c r="B192" s="547"/>
      <c r="C192" s="515" t="s">
        <v>244</v>
      </c>
      <c r="D192" s="548"/>
      <c r="E192" s="462">
        <v>30</v>
      </c>
    </row>
    <row r="193" spans="2:18">
      <c r="B193" s="549"/>
      <c r="C193" s="550" t="s">
        <v>245</v>
      </c>
      <c r="D193" s="551"/>
      <c r="E193" s="541">
        <v>30</v>
      </c>
    </row>
    <row r="195" spans="2:18">
      <c r="B195" s="503" t="s">
        <v>424</v>
      </c>
      <c r="C195" s="443"/>
      <c r="D195" s="443"/>
      <c r="E195" s="443"/>
      <c r="F195" s="443"/>
      <c r="G195" s="443"/>
      <c r="H195" s="443"/>
      <c r="I195" s="443"/>
      <c r="J195" s="443"/>
      <c r="K195" s="443"/>
      <c r="L195" s="443"/>
      <c r="M195" s="443"/>
      <c r="N195" s="443"/>
      <c r="O195" s="443"/>
      <c r="P195" s="443"/>
      <c r="Q195" s="443"/>
      <c r="R195" s="443"/>
    </row>
    <row r="196" spans="2:18" ht="10" customHeight="1">
      <c r="B196" s="443"/>
      <c r="C196" s="443"/>
      <c r="D196" s="443"/>
      <c r="E196" s="443"/>
      <c r="F196" s="443"/>
      <c r="G196" s="443"/>
      <c r="H196" s="443"/>
      <c r="I196" s="443"/>
      <c r="J196" s="443"/>
      <c r="K196" s="443"/>
      <c r="L196" s="443"/>
      <c r="M196" s="443"/>
      <c r="N196" s="443"/>
      <c r="O196" s="443"/>
      <c r="P196" s="443"/>
      <c r="Q196" s="443"/>
      <c r="R196" s="443"/>
    </row>
    <row r="197" spans="2:18">
      <c r="B197" s="552" t="s">
        <v>425</v>
      </c>
      <c r="C197" s="443"/>
      <c r="D197" s="443"/>
      <c r="E197" s="443"/>
      <c r="F197" s="443"/>
      <c r="G197" s="443"/>
      <c r="H197" s="443"/>
      <c r="I197" s="443"/>
      <c r="J197" s="443"/>
      <c r="K197" s="443"/>
      <c r="L197" s="443"/>
      <c r="M197" s="443"/>
      <c r="N197" s="443"/>
      <c r="O197" s="443"/>
      <c r="P197" s="443"/>
      <c r="Q197" s="443"/>
      <c r="R197" s="443"/>
    </row>
    <row r="201" spans="2:18" ht="21">
      <c r="B201" s="589" t="s">
        <v>654</v>
      </c>
    </row>
    <row r="202" spans="2:18">
      <c r="B202" s="449" t="s">
        <v>486</v>
      </c>
      <c r="C202" s="588" t="s">
        <v>488</v>
      </c>
    </row>
    <row r="203" spans="2:18">
      <c r="B203" s="449" t="s">
        <v>498</v>
      </c>
      <c r="C203" s="588" t="s">
        <v>499</v>
      </c>
    </row>
    <row r="204" spans="2:18">
      <c r="B204" s="449" t="s">
        <v>508</v>
      </c>
      <c r="C204" s="588" t="s">
        <v>509</v>
      </c>
    </row>
    <row r="205" spans="2:18">
      <c r="B205" s="449" t="s">
        <v>514</v>
      </c>
      <c r="C205" s="588" t="s">
        <v>515</v>
      </c>
    </row>
    <row r="206" spans="2:18">
      <c r="B206" s="449" t="s">
        <v>520</v>
      </c>
      <c r="C206" s="588" t="s">
        <v>521</v>
      </c>
    </row>
    <row r="207" spans="2:18">
      <c r="B207" s="449" t="s">
        <v>89</v>
      </c>
      <c r="C207" s="588" t="s">
        <v>488</v>
      </c>
    </row>
    <row r="208" spans="2:18">
      <c r="B208" s="449" t="s">
        <v>531</v>
      </c>
      <c r="C208" s="588" t="s">
        <v>521</v>
      </c>
    </row>
    <row r="209" spans="2:3">
      <c r="B209" s="449" t="s">
        <v>91</v>
      </c>
      <c r="C209" s="588" t="s">
        <v>488</v>
      </c>
    </row>
    <row r="210" spans="2:3">
      <c r="B210" s="449" t="s">
        <v>540</v>
      </c>
      <c r="C210" s="588" t="s">
        <v>488</v>
      </c>
    </row>
    <row r="211" spans="2:3">
      <c r="B211" s="449" t="s">
        <v>543</v>
      </c>
      <c r="C211" s="588" t="s">
        <v>544</v>
      </c>
    </row>
    <row r="212" spans="2:3">
      <c r="B212" s="449" t="s">
        <v>546</v>
      </c>
      <c r="C212" s="588" t="s">
        <v>647</v>
      </c>
    </row>
    <row r="213" spans="2:3">
      <c r="B213" s="449" t="s">
        <v>551</v>
      </c>
      <c r="C213" s="588" t="s">
        <v>647</v>
      </c>
    </row>
    <row r="214" spans="2:3">
      <c r="B214" s="449" t="s">
        <v>556</v>
      </c>
      <c r="C214" s="588" t="s">
        <v>647</v>
      </c>
    </row>
    <row r="215" spans="2:3">
      <c r="B215" s="449" t="s">
        <v>561</v>
      </c>
      <c r="C215" s="588" t="s">
        <v>647</v>
      </c>
    </row>
    <row r="216" spans="2:3">
      <c r="B216" s="449" t="s">
        <v>566</v>
      </c>
      <c r="C216" s="588" t="s">
        <v>647</v>
      </c>
    </row>
    <row r="217" spans="2:3">
      <c r="B217" s="449" t="s">
        <v>571</v>
      </c>
      <c r="C217" s="588" t="s">
        <v>572</v>
      </c>
    </row>
    <row r="218" spans="2:3">
      <c r="B218" s="449" t="s">
        <v>576</v>
      </c>
      <c r="C218" s="588" t="s">
        <v>572</v>
      </c>
    </row>
    <row r="219" spans="2:3">
      <c r="B219" s="449" t="s">
        <v>580</v>
      </c>
      <c r="C219" s="588" t="s">
        <v>488</v>
      </c>
    </row>
    <row r="220" spans="2:3">
      <c r="B220" s="449" t="s">
        <v>584</v>
      </c>
      <c r="C220" s="588" t="s">
        <v>488</v>
      </c>
    </row>
    <row r="221" spans="2:3">
      <c r="B221" s="449" t="s">
        <v>586</v>
      </c>
      <c r="C221" s="588" t="s">
        <v>488</v>
      </c>
    </row>
    <row r="224" spans="2:3">
      <c r="B224" s="446" t="s">
        <v>666</v>
      </c>
    </row>
  </sheetData>
  <sheetProtection algorithmName="SHA-512" hashValue="9G0GLosqMHPb2yREuNNE+VxjsIBk36iCyh5R1Lck80W9HZgvw7KtJI1t4cgfmNyscrn2OMF3kEBrBE86qCjRyw==" saltValue="ob5S8FBc0kWPyhp4pB3dTA==" spinCount="100000" sheet="1" objects="1" scenarios="1" insertColumns="0" insertRows="0"/>
  <mergeCells count="85">
    <mergeCell ref="G140:H140"/>
    <mergeCell ref="G59:H59"/>
    <mergeCell ref="L59:M59"/>
    <mergeCell ref="G60:H60"/>
    <mergeCell ref="L60:M60"/>
    <mergeCell ref="G69:H69"/>
    <mergeCell ref="G18:H18"/>
    <mergeCell ref="G19:H19"/>
    <mergeCell ref="G20:H20"/>
    <mergeCell ref="G21:H21"/>
    <mergeCell ref="G22:H22"/>
    <mergeCell ref="G23:H23"/>
    <mergeCell ref="G32:H32"/>
    <mergeCell ref="G33:H33"/>
    <mergeCell ref="G34:H34"/>
    <mergeCell ref="G35:H35"/>
    <mergeCell ref="G31:H31"/>
    <mergeCell ref="G36:H36"/>
    <mergeCell ref="G37:H37"/>
    <mergeCell ref="G52:H52"/>
    <mergeCell ref="G53:H53"/>
    <mergeCell ref="G54:H54"/>
    <mergeCell ref="G49:H49"/>
    <mergeCell ref="G50:H50"/>
    <mergeCell ref="G51:H51"/>
    <mergeCell ref="G55:H55"/>
    <mergeCell ref="G47:H47"/>
    <mergeCell ref="G48:H48"/>
    <mergeCell ref="P11:Q11"/>
    <mergeCell ref="P12:Q12"/>
    <mergeCell ref="K11:M11"/>
    <mergeCell ref="G45:H45"/>
    <mergeCell ref="G46:H46"/>
    <mergeCell ref="G38:H38"/>
    <mergeCell ref="G39:H39"/>
    <mergeCell ref="G40:H40"/>
    <mergeCell ref="G41:H41"/>
    <mergeCell ref="G42:H42"/>
    <mergeCell ref="G43:H43"/>
    <mergeCell ref="G44:H44"/>
    <mergeCell ref="G30:H30"/>
    <mergeCell ref="P13:Q13"/>
    <mergeCell ref="P14:Q14"/>
    <mergeCell ref="K12:M12"/>
    <mergeCell ref="K13:M13"/>
    <mergeCell ref="K14:M14"/>
    <mergeCell ref="L4:N6"/>
    <mergeCell ref="B8:E8"/>
    <mergeCell ref="G8:I8"/>
    <mergeCell ref="P8:Q8"/>
    <mergeCell ref="P10:Q10"/>
    <mergeCell ref="G10:H10"/>
    <mergeCell ref="K10:M10"/>
    <mergeCell ref="B114:E114"/>
    <mergeCell ref="B56:D56"/>
    <mergeCell ref="G11:H11"/>
    <mergeCell ref="G12:H12"/>
    <mergeCell ref="B58:E60"/>
    <mergeCell ref="G58:H58"/>
    <mergeCell ref="H62:N62"/>
    <mergeCell ref="H63:N63"/>
    <mergeCell ref="H64:N64"/>
    <mergeCell ref="B62:E62"/>
    <mergeCell ref="B63:E63"/>
    <mergeCell ref="B64:E64"/>
    <mergeCell ref="K68:N69"/>
    <mergeCell ref="K74:N75"/>
    <mergeCell ref="L58:M58"/>
    <mergeCell ref="L56:M56"/>
    <mergeCell ref="V18:Z25"/>
    <mergeCell ref="S58:T60"/>
    <mergeCell ref="G68:H68"/>
    <mergeCell ref="S4:T6"/>
    <mergeCell ref="S8:T8"/>
    <mergeCell ref="S10:T14"/>
    <mergeCell ref="G4:I6"/>
    <mergeCell ref="G13:H13"/>
    <mergeCell ref="G14:H14"/>
    <mergeCell ref="G56:H56"/>
    <mergeCell ref="G24:H24"/>
    <mergeCell ref="G25:H25"/>
    <mergeCell ref="G26:H26"/>
    <mergeCell ref="G27:H27"/>
    <mergeCell ref="G28:H28"/>
    <mergeCell ref="G29:H29"/>
  </mergeCells>
  <phoneticPr fontId="153" type="noConversion"/>
  <conditionalFormatting sqref="I18:I54 N18:N54">
    <cfRule type="expression" dxfId="87" priority="71">
      <formula>I18=5</formula>
    </cfRule>
    <cfRule type="expression" dxfId="86" priority="72">
      <formula>I18=4</formula>
    </cfRule>
    <cfRule type="expression" dxfId="85" priority="73">
      <formula>I18=3</formula>
    </cfRule>
    <cfRule type="expression" dxfId="84" priority="74">
      <formula>I18=2</formula>
    </cfRule>
    <cfRule type="expression" dxfId="83" priority="75">
      <formula>I18=1</formula>
    </cfRule>
  </conditionalFormatting>
  <conditionalFormatting sqref="P18:P54">
    <cfRule type="cellIs" dxfId="82" priority="21" operator="between">
      <formula>20</formula>
      <formula>25</formula>
    </cfRule>
    <cfRule type="cellIs" dxfId="81" priority="22" operator="between">
      <formula>15</formula>
      <formula>16</formula>
    </cfRule>
    <cfRule type="cellIs" dxfId="80" priority="23" operator="between">
      <formula>10</formula>
      <formula>12</formula>
    </cfRule>
    <cfRule type="cellIs" dxfId="79" priority="24" operator="between">
      <formula>5</formula>
      <formula>9</formula>
    </cfRule>
    <cfRule type="cellIs" dxfId="78" priority="25" operator="between">
      <formula>1</formula>
      <formula>4</formula>
    </cfRule>
    <cfRule type="cellIs" dxfId="77" priority="26" operator="equal">
      <formula>4</formula>
    </cfRule>
    <cfRule type="cellIs" dxfId="76" priority="27" operator="equal">
      <formula>3</formula>
    </cfRule>
    <cfRule type="cellIs" dxfId="75" priority="28" operator="equal">
      <formula>2</formula>
    </cfRule>
    <cfRule type="cellIs" dxfId="74" priority="29" operator="equal">
      <formula>5</formula>
    </cfRule>
    <cfRule type="cellIs" dxfId="73" priority="30" operator="equal">
      <formula>1</formula>
    </cfRule>
  </conditionalFormatting>
  <conditionalFormatting sqref="P18:Q54">
    <cfRule type="expression" dxfId="72" priority="31">
      <formula>AND(P18&gt;=20,P18&lt;26)</formula>
    </cfRule>
    <cfRule type="expression" dxfId="71" priority="32">
      <formula>AND(P18&gt;=15,P18&lt;20)</formula>
    </cfRule>
    <cfRule type="expression" dxfId="70" priority="33">
      <formula>AND(P18&gt;=10,P18&lt;15)</formula>
    </cfRule>
    <cfRule type="expression" dxfId="69" priority="34">
      <formula>AND(P18&gt;=5,P18&lt;10)</formula>
    </cfRule>
    <cfRule type="expression" dxfId="68" priority="35">
      <formula>AND(P18&gt;=1, P18&lt;5)</formula>
    </cfRule>
  </conditionalFormatting>
  <hyperlinks>
    <hyperlink ref="B197" r:id="rId1" xr:uid="{E3736B4D-9211-284E-8195-14BF81245C30}"/>
    <hyperlink ref="C212" r:id="rId2" xr:uid="{A4046565-5D63-468E-A959-918F20E92F15}"/>
    <hyperlink ref="C213:C216" r:id="rId3" display="2023 UK Government emission conversion factors (DESNZ)" xr:uid="{8D7D7E74-FD43-493D-978D-85046EC95CE6}"/>
    <hyperlink ref="C202" r:id="rId4" xr:uid="{DEA29529-D3CC-479A-A1A4-54C2147CB5AC}"/>
    <hyperlink ref="C206" r:id="rId5" xr:uid="{F51E41CB-79CB-40E4-B662-2E18CA342784}"/>
    <hyperlink ref="C207" r:id="rId6" xr:uid="{82D2C2B1-3438-4698-9767-2EC70A6943DB}"/>
    <hyperlink ref="C208" r:id="rId7" xr:uid="{66FAE552-911E-4280-9BA8-1DA416F44B3B}"/>
    <hyperlink ref="C209" r:id="rId8" xr:uid="{C24DAFE5-38B4-4E14-B62B-9B5919AB3110}"/>
    <hyperlink ref="C210" r:id="rId9" xr:uid="{2827CA55-0E9C-4220-BEE0-DD2950301BB4}"/>
    <hyperlink ref="C211" r:id="rId10" xr:uid="{D9FDF97A-678A-4158-9BF1-DFA96007370F}"/>
    <hyperlink ref="C217" r:id="rId11" xr:uid="{FB61C327-FB36-476C-A20F-A76644076DFC}"/>
    <hyperlink ref="C218" r:id="rId12" xr:uid="{73CAA738-D42C-410A-AA9A-E55FBDE014E0}"/>
    <hyperlink ref="C219:C221" r:id="rId13" display="ICE DB  V3.0 - world average data (2019)" xr:uid="{27E36D4D-1DF7-4DB1-AFD9-7E5256A0F2AD}"/>
    <hyperlink ref="C203" r:id="rId14" xr:uid="{3A6B5ADC-6D89-44E6-B45C-4B84463C19AD}"/>
    <hyperlink ref="C204" r:id="rId15" xr:uid="{35809E63-C998-4E3B-A861-6EFD96ADAF7F}"/>
    <hyperlink ref="C205" r:id="rId16" xr:uid="{03B1176D-1104-4533-A993-6CA6AB34E7C0}"/>
  </hyperlinks>
  <pageMargins left="0.7" right="0.7" top="0.75" bottom="0.75" header="0.3" footer="0.3"/>
  <pageSetup paperSize="9" scale="45" orientation="landscape" horizontalDpi="300" verticalDpi="300"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73D8E-106E-4B52-9FA7-30AE5FF48831}">
  <dimension ref="B2:W63"/>
  <sheetViews>
    <sheetView showGridLines="0" topLeftCell="A4" zoomScaleNormal="100" workbookViewId="0">
      <selection activeCell="C4" sqref="C4"/>
    </sheetView>
  </sheetViews>
  <sheetFormatPr defaultColWidth="8.81640625" defaultRowHeight="15.5"/>
  <cols>
    <col min="1" max="1" width="5.453125" style="451" customWidth="1"/>
    <col min="2" max="2" width="29.6328125" style="449" customWidth="1"/>
    <col min="3" max="3" width="30.36328125" style="449" customWidth="1"/>
    <col min="4" max="4" width="6.81640625" style="449" hidden="1" customWidth="1"/>
    <col min="5" max="5" width="22.81640625" style="449" customWidth="1"/>
    <col min="6" max="6" width="16.6328125" style="449" customWidth="1"/>
    <col min="7" max="7" width="2.1796875" style="449" customWidth="1"/>
    <col min="8" max="8" width="21.453125" style="449" customWidth="1"/>
    <col min="9" max="9" width="20.6328125" style="449" customWidth="1"/>
    <col min="10" max="10" width="14.6328125" style="449" customWidth="1"/>
    <col min="11" max="11" width="2.1796875" style="449" customWidth="1"/>
    <col min="12" max="12" width="17.81640625" style="449" customWidth="1"/>
    <col min="13" max="13" width="20.81640625" style="449" customWidth="1"/>
    <col min="14" max="14" width="14.6328125" style="449" customWidth="1"/>
    <col min="15" max="15" width="2.6328125" style="449" customWidth="1"/>
    <col min="16" max="16" width="19" style="449" customWidth="1"/>
    <col min="17" max="17" width="38" style="449" customWidth="1"/>
    <col min="18" max="18" width="3.36328125" style="449" customWidth="1"/>
    <col min="19" max="19" width="14.81640625" style="451" customWidth="1"/>
    <col min="20" max="20" width="15.81640625" style="451" customWidth="1"/>
    <col min="21" max="16384" width="8.81640625" style="451"/>
  </cols>
  <sheetData>
    <row r="2" spans="2:23" ht="60" customHeight="1">
      <c r="B2" s="447" t="s">
        <v>62</v>
      </c>
      <c r="C2" s="380"/>
      <c r="D2" s="380"/>
      <c r="E2" s="380"/>
      <c r="F2" s="380"/>
      <c r="G2" s="380"/>
      <c r="H2" s="380"/>
      <c r="I2" s="380"/>
      <c r="J2" s="380"/>
      <c r="K2" s="380"/>
      <c r="L2" s="380"/>
      <c r="M2" s="562"/>
      <c r="N2" s="380"/>
      <c r="O2" s="380"/>
      <c r="P2" s="380"/>
      <c r="Q2" s="563" t="s">
        <v>156</v>
      </c>
      <c r="R2" s="564"/>
      <c r="S2" s="564"/>
      <c r="T2" s="564"/>
      <c r="U2" s="564"/>
      <c r="V2" s="564"/>
      <c r="W2" s="564"/>
    </row>
    <row r="3" spans="2:23" ht="5" customHeight="1" thickBot="1"/>
    <row r="4" spans="2:23" ht="20" customHeight="1">
      <c r="B4" s="385" t="s">
        <v>211</v>
      </c>
      <c r="C4" s="237">
        <f>Forestillingstitel</f>
        <v>0</v>
      </c>
      <c r="D4" s="452"/>
      <c r="E4" s="452"/>
      <c r="F4" s="452"/>
      <c r="G4" s="565"/>
      <c r="H4" s="806" t="s">
        <v>210</v>
      </c>
      <c r="I4" s="806"/>
      <c r="J4" s="806"/>
      <c r="K4" s="386"/>
      <c r="L4" s="825">
        <f>TARGET</f>
        <v>0</v>
      </c>
      <c r="M4" s="825"/>
      <c r="N4" s="825"/>
      <c r="O4" s="565"/>
      <c r="P4" s="454"/>
      <c r="Q4" s="454"/>
      <c r="S4" s="797" t="s">
        <v>179</v>
      </c>
      <c r="T4" s="798"/>
    </row>
    <row r="5" spans="2:23" ht="20" customHeight="1">
      <c r="B5" s="385" t="s">
        <v>198</v>
      </c>
      <c r="C5" s="237">
        <f>KUNSTART</f>
        <v>0</v>
      </c>
      <c r="D5" s="452"/>
      <c r="E5" s="452"/>
      <c r="F5" s="452"/>
      <c r="G5" s="565"/>
      <c r="H5" s="806"/>
      <c r="I5" s="806"/>
      <c r="J5" s="806"/>
      <c r="K5" s="386"/>
      <c r="L5" s="825"/>
      <c r="M5" s="825"/>
      <c r="N5" s="825"/>
      <c r="O5" s="565"/>
      <c r="P5" s="454" t="s">
        <v>34</v>
      </c>
      <c r="Q5" s="566"/>
      <c r="S5" s="799"/>
      <c r="T5" s="800"/>
    </row>
    <row r="6" spans="2:23" ht="20" customHeight="1" thickBot="1">
      <c r="B6" s="385" t="s">
        <v>212</v>
      </c>
      <c r="C6" s="237">
        <f>sæson</f>
        <v>0</v>
      </c>
      <c r="D6" s="452"/>
      <c r="E6" s="452"/>
      <c r="F6" s="452"/>
      <c r="G6" s="565"/>
      <c r="H6" s="806"/>
      <c r="I6" s="806"/>
      <c r="J6" s="806"/>
      <c r="K6" s="386"/>
      <c r="L6" s="825"/>
      <c r="M6" s="825"/>
      <c r="N6" s="825"/>
      <c r="O6" s="565"/>
      <c r="P6" s="454" t="s">
        <v>203</v>
      </c>
      <c r="Q6" s="224">
        <f>_kostumier</f>
        <v>0</v>
      </c>
      <c r="S6" s="801"/>
      <c r="T6" s="802"/>
    </row>
    <row r="7" spans="2:23" ht="7" customHeight="1">
      <c r="S7" s="455"/>
      <c r="T7" s="455"/>
    </row>
    <row r="8" spans="2:23" ht="23.5">
      <c r="B8" s="826" t="s">
        <v>163</v>
      </c>
      <c r="C8" s="826"/>
      <c r="D8" s="826"/>
      <c r="E8" s="826"/>
      <c r="F8" s="826"/>
      <c r="G8" s="456"/>
      <c r="H8" s="827" t="s">
        <v>22</v>
      </c>
      <c r="I8" s="827"/>
      <c r="J8" s="827"/>
      <c r="K8" s="456"/>
      <c r="L8" s="827" t="s">
        <v>12</v>
      </c>
      <c r="M8" s="827"/>
      <c r="N8" s="827"/>
      <c r="O8" s="456"/>
      <c r="P8" s="827" t="s">
        <v>23</v>
      </c>
      <c r="Q8" s="827"/>
      <c r="R8" s="459"/>
      <c r="S8" s="803" t="s">
        <v>637</v>
      </c>
      <c r="T8" s="804"/>
    </row>
    <row r="9" spans="2:23" ht="18.5">
      <c r="B9" s="459"/>
      <c r="C9" s="459"/>
      <c r="D9" s="459"/>
      <c r="E9" s="459"/>
      <c r="F9" s="459"/>
      <c r="G9" s="459"/>
      <c r="H9" s="459"/>
      <c r="I9" s="459"/>
      <c r="J9" s="459"/>
      <c r="K9" s="459"/>
      <c r="L9" s="459"/>
      <c r="M9" s="459"/>
      <c r="N9" s="459"/>
      <c r="O9" s="459"/>
      <c r="P9" s="459"/>
      <c r="Q9" s="459"/>
      <c r="R9" s="459"/>
      <c r="T9" s="559"/>
    </row>
    <row r="10" spans="2:23" ht="20" customHeight="1">
      <c r="B10" s="845" t="s">
        <v>193</v>
      </c>
      <c r="C10" s="845"/>
      <c r="D10" s="461"/>
      <c r="E10" s="461"/>
      <c r="F10" s="461"/>
      <c r="G10" s="461"/>
      <c r="H10" s="808" t="s">
        <v>15</v>
      </c>
      <c r="I10" s="808"/>
      <c r="J10" s="463">
        <v>1</v>
      </c>
      <c r="K10" s="464"/>
      <c r="L10" s="808" t="s">
        <v>160</v>
      </c>
      <c r="M10" s="808"/>
      <c r="N10" s="463">
        <v>1</v>
      </c>
      <c r="O10" s="464"/>
      <c r="P10" s="828" t="s">
        <v>27</v>
      </c>
      <c r="Q10" s="829"/>
      <c r="R10" s="461"/>
      <c r="S10" s="805" t="s">
        <v>638</v>
      </c>
      <c r="T10" s="805"/>
    </row>
    <row r="11" spans="2:23" ht="20" customHeight="1">
      <c r="B11" s="845"/>
      <c r="C11" s="845"/>
      <c r="D11" s="461"/>
      <c r="E11" s="461"/>
      <c r="F11" s="461"/>
      <c r="G11" s="461"/>
      <c r="H11" s="808" t="s">
        <v>16</v>
      </c>
      <c r="I11" s="808"/>
      <c r="J11" s="466">
        <v>2</v>
      </c>
      <c r="K11" s="464"/>
      <c r="L11" s="808" t="s">
        <v>161</v>
      </c>
      <c r="M11" s="808"/>
      <c r="N11" s="466">
        <v>2</v>
      </c>
      <c r="O11" s="464"/>
      <c r="P11" s="837" t="s">
        <v>28</v>
      </c>
      <c r="Q11" s="838"/>
      <c r="R11" s="461"/>
      <c r="S11" s="805"/>
      <c r="T11" s="805"/>
    </row>
    <row r="12" spans="2:23" ht="20" customHeight="1">
      <c r="B12" s="855" t="s">
        <v>194</v>
      </c>
      <c r="C12" s="855"/>
      <c r="D12" s="461"/>
      <c r="E12" s="461"/>
      <c r="F12" s="461"/>
      <c r="G12" s="461"/>
      <c r="H12" s="808" t="s">
        <v>17</v>
      </c>
      <c r="I12" s="808"/>
      <c r="J12" s="467">
        <v>3</v>
      </c>
      <c r="K12" s="464"/>
      <c r="L12" s="808" t="s">
        <v>162</v>
      </c>
      <c r="M12" s="808"/>
      <c r="N12" s="467">
        <v>3</v>
      </c>
      <c r="O12" s="464"/>
      <c r="P12" s="839" t="s">
        <v>29</v>
      </c>
      <c r="Q12" s="840"/>
      <c r="R12" s="461"/>
      <c r="S12" s="805"/>
      <c r="T12" s="805"/>
    </row>
    <row r="13" spans="2:23" ht="20" customHeight="1">
      <c r="B13" s="855"/>
      <c r="C13" s="855"/>
      <c r="D13" s="461"/>
      <c r="E13" s="461"/>
      <c r="F13" s="461"/>
      <c r="G13" s="461"/>
      <c r="H13" s="808" t="s">
        <v>18</v>
      </c>
      <c r="I13" s="808"/>
      <c r="J13" s="469">
        <v>4</v>
      </c>
      <c r="K13" s="470"/>
      <c r="L13" s="808" t="s">
        <v>161</v>
      </c>
      <c r="M13" s="808"/>
      <c r="N13" s="469">
        <v>4</v>
      </c>
      <c r="O13" s="470"/>
      <c r="P13" s="831" t="s">
        <v>30</v>
      </c>
      <c r="Q13" s="832"/>
      <c r="R13" s="461"/>
      <c r="S13" s="805"/>
      <c r="T13" s="805"/>
    </row>
    <row r="14" spans="2:23" ht="20" customHeight="1">
      <c r="B14" s="471"/>
      <c r="C14" s="567"/>
      <c r="D14" s="461"/>
      <c r="E14" s="461"/>
      <c r="F14" s="461"/>
      <c r="G14" s="461"/>
      <c r="H14" s="808" t="s">
        <v>37</v>
      </c>
      <c r="I14" s="808"/>
      <c r="J14" s="472">
        <v>5</v>
      </c>
      <c r="K14" s="470"/>
      <c r="L14" s="808" t="s">
        <v>47</v>
      </c>
      <c r="M14" s="808"/>
      <c r="N14" s="472">
        <v>5</v>
      </c>
      <c r="O14" s="470"/>
      <c r="P14" s="833" t="s">
        <v>45</v>
      </c>
      <c r="Q14" s="834"/>
      <c r="R14" s="461"/>
      <c r="S14" s="805"/>
      <c r="T14" s="805"/>
    </row>
    <row r="15" spans="2:23">
      <c r="B15" s="473"/>
      <c r="C15" s="461"/>
      <c r="D15" s="461"/>
      <c r="E15" s="461"/>
      <c r="F15" s="461"/>
      <c r="G15" s="461"/>
      <c r="H15" s="461"/>
      <c r="I15" s="461"/>
      <c r="J15" s="461"/>
      <c r="K15" s="461"/>
      <c r="L15" s="461"/>
      <c r="M15" s="461"/>
      <c r="N15" s="461"/>
      <c r="O15" s="461"/>
      <c r="P15" s="461"/>
      <c r="Q15" s="461"/>
      <c r="R15" s="461"/>
      <c r="S15" s="461"/>
    </row>
    <row r="16" spans="2:23" ht="35" customHeight="1">
      <c r="B16" s="474" t="s">
        <v>69</v>
      </c>
      <c r="C16" s="474" t="s">
        <v>70</v>
      </c>
      <c r="D16" s="474"/>
      <c r="E16" s="474" t="s">
        <v>82</v>
      </c>
      <c r="F16" s="475" t="s">
        <v>83</v>
      </c>
      <c r="G16" s="476"/>
      <c r="H16" s="454" t="s">
        <v>22</v>
      </c>
      <c r="I16" s="474" t="s">
        <v>51</v>
      </c>
      <c r="J16" s="474" t="s">
        <v>53</v>
      </c>
      <c r="K16" s="476"/>
      <c r="L16" s="454" t="s">
        <v>12</v>
      </c>
      <c r="M16" s="474" t="s">
        <v>51</v>
      </c>
      <c r="N16" s="474" t="s">
        <v>53</v>
      </c>
      <c r="O16" s="477"/>
      <c r="P16" s="474" t="s">
        <v>54</v>
      </c>
      <c r="Q16" s="474" t="s">
        <v>51</v>
      </c>
      <c r="R16" s="464"/>
      <c r="S16" s="478" t="s">
        <v>487</v>
      </c>
      <c r="T16" s="479" t="s">
        <v>634</v>
      </c>
    </row>
    <row r="17" spans="2:20">
      <c r="J17" s="724" t="s">
        <v>668</v>
      </c>
      <c r="K17" s="464"/>
      <c r="S17" s="449"/>
    </row>
    <row r="18" spans="2:20" ht="20" customHeight="1">
      <c r="B18" s="849" t="s">
        <v>72</v>
      </c>
      <c r="C18" s="568" t="s">
        <v>77</v>
      </c>
      <c r="D18" s="569">
        <v>5</v>
      </c>
      <c r="E18" s="570"/>
      <c r="F18" s="718">
        <f>E18*D18</f>
        <v>0</v>
      </c>
      <c r="G18" s="489"/>
      <c r="H18" s="480"/>
      <c r="I18" s="480"/>
      <c r="J18" s="719" t="str">
        <f>IF(F18&gt;0,$J$11,"")</f>
        <v/>
      </c>
      <c r="K18" s="489"/>
      <c r="L18" s="480"/>
      <c r="M18" s="480"/>
      <c r="N18" s="571"/>
      <c r="O18" s="489"/>
      <c r="P18" s="554" t="str">
        <f t="shared" ref="P18:P19" si="0">IF(N18&gt;0,J18*N18,"")</f>
        <v/>
      </c>
      <c r="Q18" s="483"/>
      <c r="S18" s="722" t="str" cm="1">
        <f t="array" ref="S18">IF(AND(F18&gt;0,OR(J18=4,J18=5)),Table12[value],"")</f>
        <v/>
      </c>
      <c r="T18" s="554">
        <f>IFERROR(E18*S18,0)</f>
        <v>0</v>
      </c>
    </row>
    <row r="19" spans="2:20" ht="20" customHeight="1">
      <c r="B19" s="850"/>
      <c r="C19" s="572" t="s">
        <v>78</v>
      </c>
      <c r="D19" s="573">
        <v>5</v>
      </c>
      <c r="E19" s="570"/>
      <c r="F19" s="718">
        <f>E19*D19</f>
        <v>0</v>
      </c>
      <c r="G19" s="489"/>
      <c r="H19" s="480"/>
      <c r="I19" s="480"/>
      <c r="J19" s="719" t="str">
        <f>IF(F19&gt;0,$J$11,"")</f>
        <v/>
      </c>
      <c r="K19" s="489"/>
      <c r="L19" s="480"/>
      <c r="M19" s="480"/>
      <c r="N19" s="571"/>
      <c r="O19" s="489"/>
      <c r="P19" s="554" t="str">
        <f t="shared" si="0"/>
        <v/>
      </c>
      <c r="Q19" s="483"/>
      <c r="S19" s="722" t="str" cm="1">
        <f t="array" ref="S19">IF(AND(F19&gt;0,OR(J19=4,J19=5)),Table12[value],"")</f>
        <v/>
      </c>
      <c r="T19" s="554">
        <f t="shared" ref="T19:T42" si="1">IFERROR(E19*S19,0)</f>
        <v>0</v>
      </c>
    </row>
    <row r="20" spans="2:20" ht="20" customHeight="1">
      <c r="B20" s="850"/>
      <c r="C20" s="568" t="s">
        <v>79</v>
      </c>
      <c r="D20" s="569">
        <v>5</v>
      </c>
      <c r="E20" s="570"/>
      <c r="F20" s="718">
        <f t="shared" ref="F20:F42" si="2">E20*D20</f>
        <v>0</v>
      </c>
      <c r="G20" s="489"/>
      <c r="H20" s="480"/>
      <c r="I20" s="480"/>
      <c r="J20" s="719" t="str">
        <f>IF(F20&gt;0,$J$12,"")</f>
        <v/>
      </c>
      <c r="K20" s="489"/>
      <c r="L20" s="480"/>
      <c r="M20" s="480"/>
      <c r="N20" s="571"/>
      <c r="O20" s="489"/>
      <c r="P20" s="554" t="str">
        <f>IF(N20&gt;0,J20*N20,"")</f>
        <v/>
      </c>
      <c r="Q20" s="483"/>
      <c r="S20" s="722" t="str" cm="1">
        <f t="array" ref="S20">IF(AND(F20&gt;0,OR(J20=4,J20=5)),Table12[value],"")</f>
        <v/>
      </c>
      <c r="T20" s="554">
        <f t="shared" si="1"/>
        <v>0</v>
      </c>
    </row>
    <row r="21" spans="2:20" ht="20" customHeight="1">
      <c r="B21" s="850"/>
      <c r="C21" s="572" t="s">
        <v>80</v>
      </c>
      <c r="D21" s="573">
        <v>5</v>
      </c>
      <c r="E21" s="570"/>
      <c r="F21" s="718">
        <f t="shared" si="2"/>
        <v>0</v>
      </c>
      <c r="G21" s="489"/>
      <c r="H21" s="480"/>
      <c r="I21" s="480"/>
      <c r="J21" s="719" t="str">
        <f>IF(F21&gt;0,$J$13,"")</f>
        <v/>
      </c>
      <c r="K21" s="489"/>
      <c r="L21" s="480"/>
      <c r="M21" s="480"/>
      <c r="N21" s="571"/>
      <c r="O21" s="489"/>
      <c r="P21" s="554" t="str">
        <f t="shared" ref="P21:P42" si="3">IF(N21&gt;0,J21*N21,"")</f>
        <v/>
      </c>
      <c r="Q21" s="483"/>
      <c r="S21" s="722" t="str" cm="1">
        <f t="array" ref="S21">IF(AND(F21&gt;0,OR(J21=4,J21=5)),Table12[value],"")</f>
        <v/>
      </c>
      <c r="T21" s="554">
        <f t="shared" si="1"/>
        <v>0</v>
      </c>
    </row>
    <row r="22" spans="2:20" ht="20" customHeight="1">
      <c r="B22" s="851"/>
      <c r="C22" s="574" t="s">
        <v>81</v>
      </c>
      <c r="D22" s="575">
        <v>5</v>
      </c>
      <c r="E22" s="570"/>
      <c r="F22" s="718">
        <f t="shared" si="2"/>
        <v>0</v>
      </c>
      <c r="G22" s="489"/>
      <c r="H22" s="480"/>
      <c r="I22" s="480"/>
      <c r="J22" s="719" t="str">
        <f>IF(F22&gt;0,$J$14,"")</f>
        <v/>
      </c>
      <c r="K22" s="489"/>
      <c r="L22" s="480"/>
      <c r="M22" s="480"/>
      <c r="N22" s="571"/>
      <c r="O22" s="489"/>
      <c r="P22" s="554" t="str">
        <f t="shared" si="3"/>
        <v/>
      </c>
      <c r="Q22" s="483"/>
      <c r="S22" s="722" t="str" cm="1">
        <f t="array" ref="S22">IF(AND(F22&gt;0,OR(J22=4,J22=5)),Table12[value],"")</f>
        <v/>
      </c>
      <c r="T22" s="554">
        <f t="shared" si="1"/>
        <v>0</v>
      </c>
    </row>
    <row r="23" spans="2:20" ht="20" customHeight="1">
      <c r="B23" s="852" t="s">
        <v>73</v>
      </c>
      <c r="C23" s="576" t="s">
        <v>77</v>
      </c>
      <c r="D23" s="577">
        <v>4</v>
      </c>
      <c r="E23" s="570"/>
      <c r="F23" s="718">
        <f t="shared" si="2"/>
        <v>0</v>
      </c>
      <c r="G23" s="489"/>
      <c r="H23" s="480"/>
      <c r="I23" s="480"/>
      <c r="J23" s="719" t="str">
        <f>IF(F23&gt;0,$J$10,"")</f>
        <v/>
      </c>
      <c r="K23" s="489"/>
      <c r="L23" s="480"/>
      <c r="M23" s="480"/>
      <c r="N23" s="571"/>
      <c r="O23" s="489"/>
      <c r="P23" s="554" t="str">
        <f t="shared" si="3"/>
        <v/>
      </c>
      <c r="Q23" s="483"/>
      <c r="S23" s="722" t="str" cm="1">
        <f t="array" ref="S23">IF(AND(F23&gt;0,OR(J23=4,J23=5)),Table12[value],"")</f>
        <v/>
      </c>
      <c r="T23" s="554">
        <f t="shared" si="1"/>
        <v>0</v>
      </c>
    </row>
    <row r="24" spans="2:20" ht="20" customHeight="1">
      <c r="B24" s="853"/>
      <c r="C24" s="568" t="s">
        <v>78</v>
      </c>
      <c r="D24" s="569">
        <v>4</v>
      </c>
      <c r="E24" s="570"/>
      <c r="F24" s="718">
        <f t="shared" si="2"/>
        <v>0</v>
      </c>
      <c r="G24" s="489"/>
      <c r="H24" s="487"/>
      <c r="I24" s="480"/>
      <c r="J24" s="719" t="str">
        <f>IF(F24&gt;0,$J$11,"")</f>
        <v/>
      </c>
      <c r="K24" s="489"/>
      <c r="L24" s="480"/>
      <c r="M24" s="487"/>
      <c r="N24" s="571"/>
      <c r="O24" s="489"/>
      <c r="P24" s="554" t="str">
        <f t="shared" si="3"/>
        <v/>
      </c>
      <c r="Q24" s="483"/>
      <c r="S24" s="722" t="str" cm="1">
        <f t="array" ref="S24">IF(AND(F24&gt;0,OR(J24=4,J24=5)),Table12[value],"")</f>
        <v/>
      </c>
      <c r="T24" s="554">
        <f t="shared" si="1"/>
        <v>0</v>
      </c>
    </row>
    <row r="25" spans="2:20" ht="20" customHeight="1">
      <c r="B25" s="853"/>
      <c r="C25" s="572" t="s">
        <v>79</v>
      </c>
      <c r="D25" s="573">
        <v>4</v>
      </c>
      <c r="E25" s="570"/>
      <c r="F25" s="718">
        <f t="shared" si="2"/>
        <v>0</v>
      </c>
      <c r="G25" s="489"/>
      <c r="H25" s="480"/>
      <c r="I25" s="480"/>
      <c r="J25" s="719" t="str">
        <f>IF(F25&gt;0,$J$12,"")</f>
        <v/>
      </c>
      <c r="K25" s="489"/>
      <c r="L25" s="480"/>
      <c r="M25" s="487"/>
      <c r="N25" s="571"/>
      <c r="O25" s="489"/>
      <c r="P25" s="554" t="str">
        <f t="shared" si="3"/>
        <v/>
      </c>
      <c r="Q25" s="483"/>
      <c r="S25" s="722" t="str" cm="1">
        <f t="array" ref="S25">IF(AND(F25&gt;0,OR(J25=4,J25=5)),Table12[value],"")</f>
        <v/>
      </c>
      <c r="T25" s="554">
        <f t="shared" si="1"/>
        <v>0</v>
      </c>
    </row>
    <row r="26" spans="2:20" ht="20" customHeight="1">
      <c r="B26" s="853"/>
      <c r="C26" s="568" t="s">
        <v>80</v>
      </c>
      <c r="D26" s="569">
        <v>4</v>
      </c>
      <c r="E26" s="570"/>
      <c r="F26" s="718">
        <f t="shared" si="2"/>
        <v>0</v>
      </c>
      <c r="G26" s="489"/>
      <c r="H26" s="480"/>
      <c r="I26" s="480"/>
      <c r="J26" s="719" t="str">
        <f>IF(F26&gt;0,$J$13,"")</f>
        <v/>
      </c>
      <c r="K26" s="489"/>
      <c r="L26" s="480"/>
      <c r="M26" s="480"/>
      <c r="N26" s="571"/>
      <c r="O26" s="489"/>
      <c r="P26" s="554" t="str">
        <f t="shared" si="3"/>
        <v/>
      </c>
      <c r="Q26" s="483"/>
      <c r="S26" s="722" t="str" cm="1">
        <f t="array" ref="S26">IF(AND(F26&gt;0,OR(J26=4,J26=5)),Table12[value],"")</f>
        <v/>
      </c>
      <c r="T26" s="554">
        <f t="shared" si="1"/>
        <v>0</v>
      </c>
    </row>
    <row r="27" spans="2:20" ht="20" customHeight="1">
      <c r="B27" s="854"/>
      <c r="C27" s="578" t="s">
        <v>81</v>
      </c>
      <c r="D27" s="579">
        <v>4</v>
      </c>
      <c r="E27" s="570"/>
      <c r="F27" s="718">
        <f t="shared" si="2"/>
        <v>0</v>
      </c>
      <c r="G27" s="489"/>
      <c r="H27" s="480"/>
      <c r="I27" s="480"/>
      <c r="J27" s="719" t="str">
        <f>IF(F27&gt;0,$J$14,"")</f>
        <v/>
      </c>
      <c r="K27" s="489"/>
      <c r="L27" s="480"/>
      <c r="M27" s="480"/>
      <c r="N27" s="571"/>
      <c r="O27" s="489"/>
      <c r="P27" s="554" t="str">
        <f t="shared" si="3"/>
        <v/>
      </c>
      <c r="Q27" s="483"/>
      <c r="S27" s="722" t="str" cm="1">
        <f t="array" ref="S27">IF(AND(F27&gt;0,OR(J27=4,J27=5)),Table12[value],"")</f>
        <v/>
      </c>
      <c r="T27" s="554">
        <f t="shared" si="1"/>
        <v>0</v>
      </c>
    </row>
    <row r="28" spans="2:20" ht="20" customHeight="1">
      <c r="B28" s="849" t="s">
        <v>74</v>
      </c>
      <c r="C28" s="568" t="s">
        <v>77</v>
      </c>
      <c r="D28" s="569">
        <v>2</v>
      </c>
      <c r="E28" s="570"/>
      <c r="F28" s="718">
        <f t="shared" si="2"/>
        <v>0</v>
      </c>
      <c r="G28" s="489"/>
      <c r="H28" s="480"/>
      <c r="I28" s="480"/>
      <c r="J28" s="719" t="str">
        <f>IF(F28&gt;0,$J$10,"")</f>
        <v/>
      </c>
      <c r="K28" s="489"/>
      <c r="L28" s="480"/>
      <c r="M28" s="480"/>
      <c r="N28" s="571"/>
      <c r="O28" s="489"/>
      <c r="P28" s="554" t="str">
        <f t="shared" si="3"/>
        <v/>
      </c>
      <c r="Q28" s="483"/>
      <c r="S28" s="722" t="str" cm="1">
        <f t="array" ref="S28">IF(AND(F28&gt;0,OR(J28=4,J28=5)),Table12[value],"")</f>
        <v/>
      </c>
      <c r="T28" s="554">
        <f t="shared" si="1"/>
        <v>0</v>
      </c>
    </row>
    <row r="29" spans="2:20" ht="20" customHeight="1">
      <c r="B29" s="850"/>
      <c r="C29" s="572" t="s">
        <v>78</v>
      </c>
      <c r="D29" s="573">
        <v>2</v>
      </c>
      <c r="E29" s="570"/>
      <c r="F29" s="718">
        <f t="shared" si="2"/>
        <v>0</v>
      </c>
      <c r="G29" s="489"/>
      <c r="H29" s="480"/>
      <c r="I29" s="480"/>
      <c r="J29" s="719" t="str">
        <f>IF(F29&gt;0,$J$11,"")</f>
        <v/>
      </c>
      <c r="K29" s="489"/>
      <c r="L29" s="480"/>
      <c r="M29" s="480"/>
      <c r="N29" s="571"/>
      <c r="O29" s="489"/>
      <c r="P29" s="554" t="str">
        <f t="shared" si="3"/>
        <v/>
      </c>
      <c r="Q29" s="483"/>
      <c r="S29" s="722" t="str" cm="1">
        <f t="array" ref="S29">IF(AND(F29&gt;0,OR(J29=4,J29=5)),Table12[value],"")</f>
        <v/>
      </c>
      <c r="T29" s="554">
        <f t="shared" si="1"/>
        <v>0</v>
      </c>
    </row>
    <row r="30" spans="2:20" ht="20" customHeight="1">
      <c r="B30" s="850"/>
      <c r="C30" s="568" t="s">
        <v>79</v>
      </c>
      <c r="D30" s="569">
        <v>2</v>
      </c>
      <c r="E30" s="570"/>
      <c r="F30" s="718">
        <f t="shared" si="2"/>
        <v>0</v>
      </c>
      <c r="G30" s="489"/>
      <c r="H30" s="480"/>
      <c r="I30" s="480"/>
      <c r="J30" s="719" t="str">
        <f>IF(F30&gt;0,$J$12,"")</f>
        <v/>
      </c>
      <c r="K30" s="489"/>
      <c r="L30" s="480"/>
      <c r="M30" s="480"/>
      <c r="N30" s="571"/>
      <c r="O30" s="489"/>
      <c r="P30" s="554" t="str">
        <f t="shared" si="3"/>
        <v/>
      </c>
      <c r="Q30" s="483"/>
      <c r="S30" s="722" t="str" cm="1">
        <f t="array" ref="S30">IF(AND(F30&gt;0,OR(J30=4,J30=5)),Table12[value],"")</f>
        <v/>
      </c>
      <c r="T30" s="554">
        <f t="shared" si="1"/>
        <v>0</v>
      </c>
    </row>
    <row r="31" spans="2:20" ht="20" customHeight="1">
      <c r="B31" s="850"/>
      <c r="C31" s="572" t="s">
        <v>80</v>
      </c>
      <c r="D31" s="573">
        <v>2</v>
      </c>
      <c r="E31" s="570"/>
      <c r="F31" s="718">
        <f t="shared" si="2"/>
        <v>0</v>
      </c>
      <c r="G31" s="489"/>
      <c r="H31" s="485"/>
      <c r="I31" s="480"/>
      <c r="J31" s="719" t="str">
        <f>IF(F31&gt;0,$J$13,"")</f>
        <v/>
      </c>
      <c r="K31" s="489"/>
      <c r="L31" s="480"/>
      <c r="M31" s="480"/>
      <c r="N31" s="571"/>
      <c r="O31" s="489"/>
      <c r="P31" s="554" t="str">
        <f t="shared" si="3"/>
        <v/>
      </c>
      <c r="Q31" s="483"/>
      <c r="S31" s="722" t="str" cm="1">
        <f t="array" ref="S31">IF(AND(F31&gt;0,OR(J31=4,J31=5)),Table12[value],"")</f>
        <v/>
      </c>
      <c r="T31" s="554">
        <f t="shared" si="1"/>
        <v>0</v>
      </c>
    </row>
    <row r="32" spans="2:20" ht="20" customHeight="1">
      <c r="B32" s="851"/>
      <c r="C32" s="574" t="s">
        <v>81</v>
      </c>
      <c r="D32" s="575">
        <v>2</v>
      </c>
      <c r="E32" s="570"/>
      <c r="F32" s="718">
        <f t="shared" si="2"/>
        <v>0</v>
      </c>
      <c r="G32" s="489"/>
      <c r="H32" s="480"/>
      <c r="I32" s="480"/>
      <c r="J32" s="719" t="str">
        <f>IF(F32&gt;0,$J$14,"")</f>
        <v/>
      </c>
      <c r="K32" s="489"/>
      <c r="L32" s="480"/>
      <c r="M32" s="480"/>
      <c r="N32" s="571"/>
      <c r="O32" s="489"/>
      <c r="P32" s="554" t="str">
        <f t="shared" si="3"/>
        <v/>
      </c>
      <c r="Q32" s="483"/>
      <c r="S32" s="722" t="str" cm="1">
        <f t="array" ref="S32">IF(AND(F32&gt;0,OR(J32=4,J32=5)),Table12[value],"")</f>
        <v/>
      </c>
      <c r="T32" s="554">
        <f t="shared" si="1"/>
        <v>0</v>
      </c>
    </row>
    <row r="33" spans="2:20" ht="20" customHeight="1">
      <c r="B33" s="852" t="s">
        <v>75</v>
      </c>
      <c r="C33" s="576" t="s">
        <v>77</v>
      </c>
      <c r="D33" s="577">
        <v>0.5</v>
      </c>
      <c r="E33" s="570"/>
      <c r="F33" s="718">
        <f t="shared" si="2"/>
        <v>0</v>
      </c>
      <c r="G33" s="489"/>
      <c r="H33" s="480"/>
      <c r="I33" s="480"/>
      <c r="J33" s="719" t="str">
        <f>IF(F33&gt;0,$J$10,"")</f>
        <v/>
      </c>
      <c r="K33" s="489"/>
      <c r="L33" s="480"/>
      <c r="M33" s="480"/>
      <c r="N33" s="571"/>
      <c r="O33" s="489"/>
      <c r="P33" s="554" t="str">
        <f t="shared" si="3"/>
        <v/>
      </c>
      <c r="Q33" s="483"/>
      <c r="S33" s="722" t="str" cm="1">
        <f t="array" ref="S33">IF(AND(F33&gt;0,OR(J33=4,J33=5)),Table12[value],"")</f>
        <v/>
      </c>
      <c r="T33" s="554">
        <f t="shared" si="1"/>
        <v>0</v>
      </c>
    </row>
    <row r="34" spans="2:20" ht="20" customHeight="1">
      <c r="B34" s="853"/>
      <c r="C34" s="568" t="s">
        <v>78</v>
      </c>
      <c r="D34" s="569">
        <v>0.5</v>
      </c>
      <c r="E34" s="570"/>
      <c r="F34" s="718">
        <f t="shared" si="2"/>
        <v>0</v>
      </c>
      <c r="G34" s="489"/>
      <c r="H34" s="480"/>
      <c r="I34" s="480"/>
      <c r="J34" s="719" t="str">
        <f>IF(F34&gt;0,$J$11,"")</f>
        <v/>
      </c>
      <c r="K34" s="489"/>
      <c r="L34" s="480"/>
      <c r="M34" s="480"/>
      <c r="N34" s="571"/>
      <c r="O34" s="489"/>
      <c r="P34" s="554" t="str">
        <f t="shared" si="3"/>
        <v/>
      </c>
      <c r="Q34" s="483"/>
      <c r="S34" s="722" t="str" cm="1">
        <f t="array" ref="S34">IF(AND(F34&gt;0,OR(J34=4,J34=5)),Table12[value],"")</f>
        <v/>
      </c>
      <c r="T34" s="554">
        <f t="shared" si="1"/>
        <v>0</v>
      </c>
    </row>
    <row r="35" spans="2:20" ht="20" customHeight="1">
      <c r="B35" s="853"/>
      <c r="C35" s="572" t="s">
        <v>79</v>
      </c>
      <c r="D35" s="573">
        <v>0.5</v>
      </c>
      <c r="E35" s="570"/>
      <c r="F35" s="718">
        <f t="shared" si="2"/>
        <v>0</v>
      </c>
      <c r="G35" s="489"/>
      <c r="H35" s="480"/>
      <c r="I35" s="480"/>
      <c r="J35" s="719" t="str">
        <f>IF(F35&gt;0,$J$12,"")</f>
        <v/>
      </c>
      <c r="K35" s="489"/>
      <c r="L35" s="480"/>
      <c r="M35" s="480"/>
      <c r="N35" s="571"/>
      <c r="O35" s="489"/>
      <c r="P35" s="554" t="str">
        <f t="shared" si="3"/>
        <v/>
      </c>
      <c r="Q35" s="483"/>
      <c r="S35" s="722" t="str" cm="1">
        <f t="array" ref="S35">IF(AND(F35&gt;0,OR(J35=4,J35=5)),Table12[value],"")</f>
        <v/>
      </c>
      <c r="T35" s="554">
        <f t="shared" si="1"/>
        <v>0</v>
      </c>
    </row>
    <row r="36" spans="2:20" ht="20" customHeight="1">
      <c r="B36" s="853"/>
      <c r="C36" s="568" t="s">
        <v>80</v>
      </c>
      <c r="D36" s="569">
        <v>0.5</v>
      </c>
      <c r="E36" s="570"/>
      <c r="F36" s="718">
        <f t="shared" si="2"/>
        <v>0</v>
      </c>
      <c r="G36" s="489"/>
      <c r="H36" s="480"/>
      <c r="I36" s="480"/>
      <c r="J36" s="719" t="str">
        <f>IF(F36&gt;0,$J$13,"")</f>
        <v/>
      </c>
      <c r="K36" s="489"/>
      <c r="L36" s="480"/>
      <c r="M36" s="480"/>
      <c r="N36" s="571"/>
      <c r="O36" s="489"/>
      <c r="P36" s="554" t="str">
        <f t="shared" si="3"/>
        <v/>
      </c>
      <c r="Q36" s="483"/>
      <c r="S36" s="722" t="str" cm="1">
        <f t="array" ref="S36">IF(AND(F36&gt;0,OR(J36=4,J36=5)),Table12[value],"")</f>
        <v/>
      </c>
      <c r="T36" s="554">
        <f t="shared" si="1"/>
        <v>0</v>
      </c>
    </row>
    <row r="37" spans="2:20" ht="20" customHeight="1">
      <c r="B37" s="854"/>
      <c r="C37" s="578" t="s">
        <v>81</v>
      </c>
      <c r="D37" s="579">
        <v>0.5</v>
      </c>
      <c r="E37" s="570"/>
      <c r="F37" s="718">
        <f t="shared" si="2"/>
        <v>0</v>
      </c>
      <c r="G37" s="489"/>
      <c r="H37" s="480"/>
      <c r="I37" s="480"/>
      <c r="J37" s="719" t="str">
        <f>IF(F37&gt;0,$J$14,"")</f>
        <v/>
      </c>
      <c r="K37" s="489"/>
      <c r="L37" s="480"/>
      <c r="M37" s="480"/>
      <c r="N37" s="571"/>
      <c r="O37" s="489"/>
      <c r="P37" s="554" t="str">
        <f t="shared" si="3"/>
        <v/>
      </c>
      <c r="Q37" s="483"/>
      <c r="S37" s="722" t="str" cm="1">
        <f t="array" ref="S37">IF(AND(F37&gt;0,OR(J37=4,J37=5)),Table12[value],"")</f>
        <v/>
      </c>
      <c r="T37" s="554">
        <f t="shared" si="1"/>
        <v>0</v>
      </c>
    </row>
    <row r="38" spans="2:20" ht="20" customHeight="1">
      <c r="B38" s="849" t="s">
        <v>76</v>
      </c>
      <c r="C38" s="568" t="s">
        <v>77</v>
      </c>
      <c r="D38" s="569">
        <v>0.5</v>
      </c>
      <c r="E38" s="570"/>
      <c r="F38" s="718">
        <f t="shared" si="2"/>
        <v>0</v>
      </c>
      <c r="G38" s="489"/>
      <c r="H38" s="480"/>
      <c r="I38" s="480"/>
      <c r="J38" s="719" t="str">
        <f>IF(F38&gt;0,$J$10,"")</f>
        <v/>
      </c>
      <c r="K38" s="489"/>
      <c r="L38" s="480"/>
      <c r="M38" s="480"/>
      <c r="N38" s="571"/>
      <c r="O38" s="489"/>
      <c r="P38" s="554" t="str">
        <f t="shared" si="3"/>
        <v/>
      </c>
      <c r="Q38" s="483"/>
      <c r="S38" s="722" t="str" cm="1">
        <f t="array" ref="S38">IF(AND(F38&gt;0,OR(J38=4,J38=5)),Table12[value],"")</f>
        <v/>
      </c>
      <c r="T38" s="554">
        <f t="shared" si="1"/>
        <v>0</v>
      </c>
    </row>
    <row r="39" spans="2:20" ht="20" customHeight="1">
      <c r="B39" s="850"/>
      <c r="C39" s="572" t="s">
        <v>78</v>
      </c>
      <c r="D39" s="573">
        <v>0.5</v>
      </c>
      <c r="E39" s="570"/>
      <c r="F39" s="718">
        <f t="shared" si="2"/>
        <v>0</v>
      </c>
      <c r="G39" s="489"/>
      <c r="H39" s="480"/>
      <c r="I39" s="480"/>
      <c r="J39" s="719" t="str">
        <f>IF(F39&gt;0,$J$11,"")</f>
        <v/>
      </c>
      <c r="K39" s="489"/>
      <c r="L39" s="480"/>
      <c r="M39" s="480"/>
      <c r="N39" s="571"/>
      <c r="O39" s="489"/>
      <c r="P39" s="554" t="str">
        <f t="shared" si="3"/>
        <v/>
      </c>
      <c r="Q39" s="483"/>
      <c r="S39" s="722" t="str" cm="1">
        <f t="array" ref="S39">IF(AND(F39&gt;0,OR(J39=4,J39=5)),Table12[value],"")</f>
        <v/>
      </c>
      <c r="T39" s="554">
        <f t="shared" si="1"/>
        <v>0</v>
      </c>
    </row>
    <row r="40" spans="2:20" ht="20" customHeight="1">
      <c r="B40" s="850"/>
      <c r="C40" s="568" t="s">
        <v>79</v>
      </c>
      <c r="D40" s="569">
        <v>0.5</v>
      </c>
      <c r="E40" s="570"/>
      <c r="F40" s="718">
        <f t="shared" si="2"/>
        <v>0</v>
      </c>
      <c r="G40" s="489"/>
      <c r="H40" s="480"/>
      <c r="I40" s="480"/>
      <c r="J40" s="719" t="str">
        <f>IF(F40&gt;0,$J$12,"")</f>
        <v/>
      </c>
      <c r="K40" s="489"/>
      <c r="L40" s="480"/>
      <c r="M40" s="480"/>
      <c r="N40" s="571"/>
      <c r="O40" s="489"/>
      <c r="P40" s="554" t="str">
        <f t="shared" si="3"/>
        <v/>
      </c>
      <c r="Q40" s="483"/>
      <c r="S40" s="722" t="str" cm="1">
        <f t="array" ref="S40">IF(AND(F40&gt;0,OR(J40=4,J40=5)),Table12[value],"")</f>
        <v/>
      </c>
      <c r="T40" s="554">
        <f t="shared" si="1"/>
        <v>0</v>
      </c>
    </row>
    <row r="41" spans="2:20" ht="20" customHeight="1">
      <c r="B41" s="850"/>
      <c r="C41" s="572" t="s">
        <v>80</v>
      </c>
      <c r="D41" s="573">
        <v>0.5</v>
      </c>
      <c r="E41" s="570"/>
      <c r="F41" s="718">
        <f t="shared" si="2"/>
        <v>0</v>
      </c>
      <c r="G41" s="489"/>
      <c r="H41" s="480"/>
      <c r="I41" s="480"/>
      <c r="J41" s="719" t="str">
        <f>IF(F41&gt;0,$J$13,"")</f>
        <v/>
      </c>
      <c r="K41" s="489"/>
      <c r="L41" s="480"/>
      <c r="M41" s="480"/>
      <c r="N41" s="571"/>
      <c r="O41" s="489"/>
      <c r="P41" s="554" t="str">
        <f t="shared" si="3"/>
        <v/>
      </c>
      <c r="Q41" s="483"/>
      <c r="S41" s="722" t="str" cm="1">
        <f t="array" ref="S41">IF(AND(F41&gt;0,OR(J41=4,J41=5)),Table12[value],"")</f>
        <v/>
      </c>
      <c r="T41" s="554">
        <f t="shared" si="1"/>
        <v>0</v>
      </c>
    </row>
    <row r="42" spans="2:20" ht="20" customHeight="1">
      <c r="B42" s="851"/>
      <c r="C42" s="574" t="s">
        <v>81</v>
      </c>
      <c r="D42" s="575">
        <v>0.5</v>
      </c>
      <c r="E42" s="570"/>
      <c r="F42" s="718">
        <f t="shared" si="2"/>
        <v>0</v>
      </c>
      <c r="G42" s="489"/>
      <c r="H42" s="480"/>
      <c r="I42" s="480"/>
      <c r="J42" s="719" t="str">
        <f t="shared" ref="J42" si="4">IF(F42&gt;0,$J$14,"")</f>
        <v/>
      </c>
      <c r="K42" s="489"/>
      <c r="L42" s="480"/>
      <c r="M42" s="480"/>
      <c r="N42" s="571"/>
      <c r="O42" s="489"/>
      <c r="P42" s="554" t="str">
        <f t="shared" si="3"/>
        <v/>
      </c>
      <c r="Q42" s="483"/>
      <c r="S42" s="722" t="str" cm="1">
        <f t="array" ref="S42">IF(AND(F42&gt;0,OR(J42=4,J42=5)),Table12[value],"")</f>
        <v/>
      </c>
      <c r="T42" s="554">
        <f t="shared" si="1"/>
        <v>0</v>
      </c>
    </row>
    <row r="43" spans="2:20" ht="5" customHeight="1" thickBot="1">
      <c r="C43" s="489"/>
      <c r="D43" s="489"/>
      <c r="F43" s="451"/>
      <c r="G43" s="451"/>
      <c r="H43" s="580"/>
      <c r="I43" s="580"/>
      <c r="J43" s="581"/>
      <c r="N43" s="464"/>
    </row>
    <row r="44" spans="2:20" ht="63" customHeight="1" thickBot="1">
      <c r="B44" s="846" t="s">
        <v>24</v>
      </c>
      <c r="C44" s="847"/>
      <c r="D44" s="847"/>
      <c r="E44" s="848"/>
      <c r="F44" s="720">
        <f>SUM(F18:F42)</f>
        <v>0</v>
      </c>
      <c r="G44" s="491"/>
      <c r="H44" s="856" t="s">
        <v>25</v>
      </c>
      <c r="I44" s="857"/>
      <c r="J44" s="721" t="str">
        <f>IFERROR(SUMIF(J18:J42,"&lt;4",$F18:$F42)/$F44,"n/a")</f>
        <v>n/a</v>
      </c>
      <c r="K44" s="491"/>
      <c r="L44" s="823" t="s">
        <v>26</v>
      </c>
      <c r="M44" s="824"/>
      <c r="N44" s="721" t="str">
        <f>IFERROR(SUMIF(N18:N42,"&lt;4",$F18:$F42)/$F44,"n/a")</f>
        <v>n/a</v>
      </c>
      <c r="O44" s="492"/>
      <c r="P44" s="493"/>
      <c r="Q44" s="494"/>
      <c r="R44" s="492"/>
      <c r="S44" s="560" t="s">
        <v>445</v>
      </c>
      <c r="T44" s="558">
        <f>SUM(T18:T42)</f>
        <v>0</v>
      </c>
    </row>
    <row r="45" spans="2:20" ht="5" customHeight="1">
      <c r="B45" s="495"/>
      <c r="C45" s="451"/>
      <c r="D45" s="451"/>
      <c r="E45" s="451"/>
      <c r="F45" s="451"/>
      <c r="G45" s="451"/>
      <c r="H45" s="451"/>
      <c r="I45" s="451"/>
      <c r="J45" s="451"/>
      <c r="K45" s="451"/>
      <c r="L45" s="451"/>
      <c r="M45" s="451"/>
      <c r="N45" s="451"/>
      <c r="O45" s="451"/>
      <c r="P45" s="496"/>
      <c r="Q45" s="497"/>
      <c r="R45" s="451"/>
    </row>
    <row r="46" spans="2:20" ht="15.75" customHeight="1">
      <c r="B46" s="859" t="s">
        <v>56</v>
      </c>
      <c r="C46" s="860"/>
      <c r="D46" s="860"/>
      <c r="E46" s="860"/>
      <c r="F46" s="860"/>
      <c r="H46" s="817" t="s">
        <v>423</v>
      </c>
      <c r="I46" s="818"/>
      <c r="J46" s="498">
        <v>0.5</v>
      </c>
      <c r="K46" s="582"/>
      <c r="L46" s="822" t="s">
        <v>423</v>
      </c>
      <c r="M46" s="822"/>
      <c r="N46" s="498">
        <v>0.65</v>
      </c>
      <c r="P46" s="499"/>
      <c r="Q46" s="500"/>
    </row>
    <row r="47" spans="2:20" ht="15.75" customHeight="1">
      <c r="B47" s="860"/>
      <c r="C47" s="860"/>
      <c r="D47" s="860"/>
      <c r="E47" s="860"/>
      <c r="F47" s="860"/>
      <c r="H47" s="822" t="s">
        <v>33</v>
      </c>
      <c r="I47" s="822"/>
      <c r="J47" s="498">
        <v>0.6</v>
      </c>
      <c r="L47" s="822" t="s">
        <v>33</v>
      </c>
      <c r="M47" s="822"/>
      <c r="N47" s="498">
        <v>0.7</v>
      </c>
      <c r="P47" s="499"/>
      <c r="Q47" s="500"/>
      <c r="S47" s="465" t="s">
        <v>643</v>
      </c>
    </row>
    <row r="48" spans="2:20" ht="15.75" customHeight="1">
      <c r="B48" s="860"/>
      <c r="C48" s="860"/>
      <c r="D48" s="860"/>
      <c r="E48" s="860"/>
      <c r="F48" s="860"/>
      <c r="H48" s="822" t="s">
        <v>32</v>
      </c>
      <c r="I48" s="822"/>
      <c r="J48" s="498">
        <v>0.75</v>
      </c>
      <c r="L48" s="822" t="s">
        <v>32</v>
      </c>
      <c r="M48" s="822"/>
      <c r="N48" s="498">
        <v>0.8</v>
      </c>
      <c r="P48" s="501"/>
      <c r="Q48" s="502"/>
    </row>
    <row r="49" spans="2:19" ht="5" customHeight="1">
      <c r="B49" s="503"/>
      <c r="C49" s="504"/>
      <c r="D49" s="504"/>
      <c r="E49" s="504"/>
      <c r="F49" s="504"/>
    </row>
    <row r="50" spans="2:19" ht="18.5">
      <c r="B50" s="583" t="s">
        <v>165</v>
      </c>
      <c r="C50" s="504"/>
      <c r="D50" s="504"/>
      <c r="E50" s="504"/>
      <c r="F50" s="504"/>
    </row>
    <row r="51" spans="2:19" ht="18.5">
      <c r="B51" s="584"/>
      <c r="C51" s="504"/>
      <c r="D51" s="504"/>
      <c r="E51" s="504"/>
      <c r="F51" s="504"/>
      <c r="H51" s="858" t="s">
        <v>416</v>
      </c>
      <c r="I51" s="858"/>
      <c r="J51" s="858"/>
    </row>
    <row r="52" spans="2:19" ht="18.5">
      <c r="B52" s="585"/>
      <c r="H52" s="858"/>
      <c r="I52" s="858"/>
      <c r="J52" s="858"/>
    </row>
    <row r="53" spans="2:19">
      <c r="H53" s="858"/>
      <c r="I53" s="858"/>
      <c r="J53" s="858"/>
    </row>
    <row r="54" spans="2:19">
      <c r="H54" s="858"/>
      <c r="I54" s="858"/>
      <c r="J54" s="858"/>
    </row>
    <row r="55" spans="2:19">
      <c r="S55" s="449"/>
    </row>
    <row r="56" spans="2:19" ht="21">
      <c r="B56" s="589" t="s">
        <v>654</v>
      </c>
    </row>
    <row r="57" spans="2:19">
      <c r="B57" s="443" t="s">
        <v>655</v>
      </c>
      <c r="C57" s="588" t="s">
        <v>647</v>
      </c>
    </row>
    <row r="63" spans="2:19">
      <c r="B63" s="446" t="s">
        <v>666</v>
      </c>
      <c r="C63" s="641"/>
    </row>
  </sheetData>
  <sheetProtection algorithmName="SHA-512" hashValue="MPpI3029BT3Y4OruSHYdtdrncC4lp1gZwH8ZNlnQ/9jWUNfVIcN3tMGQlq8KOPkLtZ8ymg3zkBQjsf0FX57+JQ==" saltValue="hE1zp6Mju8VMK8p8WJWxNA==" spinCount="100000" sheet="1" insertColumns="0" insertRows="0"/>
  <mergeCells count="42">
    <mergeCell ref="H51:J54"/>
    <mergeCell ref="B46:F48"/>
    <mergeCell ref="H46:I46"/>
    <mergeCell ref="L46:M46"/>
    <mergeCell ref="H47:I47"/>
    <mergeCell ref="L47:M47"/>
    <mergeCell ref="H48:I48"/>
    <mergeCell ref="L48:M48"/>
    <mergeCell ref="H14:I14"/>
    <mergeCell ref="L14:M14"/>
    <mergeCell ref="P14:Q14"/>
    <mergeCell ref="H44:I44"/>
    <mergeCell ref="L44:M44"/>
    <mergeCell ref="H12:I12"/>
    <mergeCell ref="L12:M12"/>
    <mergeCell ref="P12:Q12"/>
    <mergeCell ref="H13:I13"/>
    <mergeCell ref="L13:M13"/>
    <mergeCell ref="P13:Q13"/>
    <mergeCell ref="L8:N8"/>
    <mergeCell ref="H11:I11"/>
    <mergeCell ref="L11:M11"/>
    <mergeCell ref="P11:Q11"/>
    <mergeCell ref="H10:I10"/>
    <mergeCell ref="L10:M10"/>
    <mergeCell ref="P10:Q10"/>
    <mergeCell ref="S4:T6"/>
    <mergeCell ref="S8:T8"/>
    <mergeCell ref="S10:T14"/>
    <mergeCell ref="B10:C11"/>
    <mergeCell ref="B44:E44"/>
    <mergeCell ref="B18:B22"/>
    <mergeCell ref="B23:B27"/>
    <mergeCell ref="B28:B32"/>
    <mergeCell ref="B33:B37"/>
    <mergeCell ref="B38:B42"/>
    <mergeCell ref="B12:C13"/>
    <mergeCell ref="H4:J6"/>
    <mergeCell ref="L4:N6"/>
    <mergeCell ref="B8:F8"/>
    <mergeCell ref="H8:J8"/>
    <mergeCell ref="P8:Q8"/>
  </mergeCells>
  <conditionalFormatting sqref="J18:J42 N18:N42">
    <cfRule type="expression" dxfId="67" priority="41">
      <formula>J18=5</formula>
    </cfRule>
    <cfRule type="expression" dxfId="66" priority="42">
      <formula>J18=4</formula>
    </cfRule>
    <cfRule type="expression" dxfId="65" priority="43">
      <formula>J18=3</formula>
    </cfRule>
    <cfRule type="expression" dxfId="64" priority="44">
      <formula>J18=2</formula>
    </cfRule>
    <cfRule type="expression" dxfId="63" priority="45">
      <formula>J18=1</formula>
    </cfRule>
  </conditionalFormatting>
  <conditionalFormatting sqref="P18:P42">
    <cfRule type="cellIs" dxfId="62" priority="1" operator="between">
      <formula>20</formula>
      <formula>25</formula>
    </cfRule>
    <cfRule type="cellIs" dxfId="61" priority="2" operator="between">
      <formula>15</formula>
      <formula>16</formula>
    </cfRule>
    <cfRule type="cellIs" dxfId="60" priority="3" operator="between">
      <formula>10</formula>
      <formula>12</formula>
    </cfRule>
    <cfRule type="cellIs" dxfId="59" priority="4" operator="between">
      <formula>5</formula>
      <formula>9</formula>
    </cfRule>
    <cfRule type="cellIs" dxfId="58" priority="5" operator="between">
      <formula>1</formula>
      <formula>4</formula>
    </cfRule>
    <cfRule type="cellIs" dxfId="57" priority="6" operator="equal">
      <formula>4</formula>
    </cfRule>
    <cfRule type="cellIs" dxfId="56" priority="7" operator="equal">
      <formula>3</formula>
    </cfRule>
    <cfRule type="cellIs" dxfId="55" priority="8" operator="equal">
      <formula>2</formula>
    </cfRule>
    <cfRule type="cellIs" dxfId="54" priority="9" operator="equal">
      <formula>5</formula>
    </cfRule>
    <cfRule type="cellIs" dxfId="53" priority="10" operator="equal">
      <formula>1</formula>
    </cfRule>
  </conditionalFormatting>
  <conditionalFormatting sqref="P18:Q42">
    <cfRule type="expression" dxfId="52" priority="11">
      <formula>AND(P18&gt;=20,P18&lt;26)</formula>
    </cfRule>
    <cfRule type="expression" dxfId="51" priority="12">
      <formula>AND(P18&gt;=15,P18&lt;20)</formula>
    </cfRule>
    <cfRule type="expression" dxfId="50" priority="13">
      <formula>AND(P18&gt;=10,P18&lt;15)</formula>
    </cfRule>
    <cfRule type="expression" dxfId="49" priority="14">
      <formula>AND(P18&gt;=5,P18&lt;10)</formula>
    </cfRule>
    <cfRule type="expression" dxfId="48" priority="15">
      <formula>AND(P18&gt;=1, P18&lt;5)</formula>
    </cfRule>
  </conditionalFormatting>
  <hyperlinks>
    <hyperlink ref="C57" r:id="rId1" xr:uid="{76BCE391-5AD8-4409-AA61-2FD4A8CBAEF3}"/>
  </hyperlinks>
  <pageMargins left="0.7" right="0.7" top="0.75" bottom="0.75" header="0.3" footer="0.3"/>
  <pageSetup paperSize="9" scale="45" orientation="landscape" horizontalDpi="300" verticalDpi="30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E3A16-9209-4C00-A5C8-D2B5038D9A98}">
  <dimension ref="B2:R118"/>
  <sheetViews>
    <sheetView showGridLines="0" zoomScaleNormal="100" workbookViewId="0"/>
  </sheetViews>
  <sheetFormatPr defaultColWidth="8.81640625" defaultRowHeight="15.5"/>
  <cols>
    <col min="1" max="1" width="5.453125" style="451" customWidth="1"/>
    <col min="2" max="2" width="29.6328125" style="449" customWidth="1"/>
    <col min="3" max="3" width="25.81640625" style="449" customWidth="1"/>
    <col min="4" max="4" width="35.81640625" style="449" customWidth="1"/>
    <col min="5" max="5" width="16.6328125" style="449" customWidth="1"/>
    <col min="6" max="6" width="2.1796875" style="449" customWidth="1"/>
    <col min="7" max="7" width="94" style="449" customWidth="1"/>
    <col min="8" max="8" width="14.6328125" style="449" customWidth="1"/>
    <col min="9" max="9" width="2.1796875" style="449" customWidth="1"/>
    <col min="10" max="10" width="15.453125" style="449" hidden="1" customWidth="1"/>
    <col min="11" max="11" width="32.6328125" style="449" customWidth="1"/>
    <col min="12" max="12" width="20.81640625" style="449" hidden="1" customWidth="1"/>
    <col min="13" max="13" width="14.6328125" style="449" customWidth="1"/>
    <col min="14" max="14" width="2.6328125" style="449" customWidth="1"/>
    <col min="15" max="15" width="23.81640625" style="449" customWidth="1"/>
    <col min="16" max="16" width="25.6328125" style="449" customWidth="1"/>
    <col min="17" max="17" width="3.36328125" style="449" customWidth="1"/>
    <col min="18" max="16384" width="8.81640625" style="451"/>
  </cols>
  <sheetData>
    <row r="2" spans="2:18" ht="60" customHeight="1">
      <c r="B2" s="447" t="s">
        <v>46</v>
      </c>
      <c r="C2" s="448"/>
      <c r="D2" s="448"/>
      <c r="E2" s="448"/>
      <c r="F2" s="448"/>
      <c r="G2" s="448"/>
      <c r="H2" s="448"/>
      <c r="I2" s="448"/>
      <c r="J2" s="448"/>
      <c r="K2" s="448"/>
      <c r="L2" s="448"/>
      <c r="M2" s="448"/>
      <c r="N2" s="448"/>
      <c r="O2" s="864" t="s">
        <v>156</v>
      </c>
      <c r="P2" s="864"/>
    </row>
    <row r="3" spans="2:18" ht="12" customHeight="1"/>
    <row r="4" spans="2:18" ht="20" customHeight="1">
      <c r="B4" s="385" t="s">
        <v>211</v>
      </c>
      <c r="C4" s="452"/>
      <c r="D4" s="237">
        <f>Forestillingstitel</f>
        <v>0</v>
      </c>
      <c r="E4" s="452"/>
      <c r="F4" s="453"/>
      <c r="G4" s="806" t="s">
        <v>210</v>
      </c>
      <c r="H4" s="806"/>
      <c r="I4" s="386"/>
      <c r="J4" s="386"/>
      <c r="K4" s="825">
        <f>TARGET</f>
        <v>0</v>
      </c>
      <c r="L4" s="825"/>
      <c r="M4" s="825"/>
      <c r="N4" s="453"/>
      <c r="O4" s="454"/>
      <c r="P4" s="454"/>
      <c r="R4" s="449"/>
    </row>
    <row r="5" spans="2:18" ht="20" customHeight="1">
      <c r="B5" s="385" t="s">
        <v>198</v>
      </c>
      <c r="C5" s="452"/>
      <c r="D5" s="237">
        <f>KUNSTART</f>
        <v>0</v>
      </c>
      <c r="E5" s="452"/>
      <c r="F5" s="453"/>
      <c r="G5" s="806"/>
      <c r="H5" s="806"/>
      <c r="I5" s="386"/>
      <c r="J5" s="386"/>
      <c r="K5" s="825"/>
      <c r="L5" s="825"/>
      <c r="M5" s="825"/>
      <c r="N5" s="453"/>
      <c r="O5" s="454" t="s">
        <v>34</v>
      </c>
      <c r="P5" s="454"/>
      <c r="R5" s="449"/>
    </row>
    <row r="6" spans="2:18" ht="20" customHeight="1">
      <c r="B6" s="385" t="s">
        <v>212</v>
      </c>
      <c r="C6" s="452"/>
      <c r="D6" s="237">
        <f>sæson</f>
        <v>0</v>
      </c>
      <c r="E6" s="452"/>
      <c r="F6" s="453"/>
      <c r="G6" s="806"/>
      <c r="H6" s="806"/>
      <c r="I6" s="386"/>
      <c r="J6" s="386"/>
      <c r="K6" s="825"/>
      <c r="L6" s="825"/>
      <c r="M6" s="825"/>
      <c r="N6" s="453"/>
      <c r="O6" s="454" t="s">
        <v>204</v>
      </c>
      <c r="P6" s="224">
        <f>_scenemester</f>
        <v>0</v>
      </c>
      <c r="R6" s="449"/>
    </row>
    <row r="7" spans="2:18" ht="20" customHeight="1">
      <c r="B7" s="385"/>
      <c r="C7" s="452"/>
      <c r="D7" s="452"/>
      <c r="E7" s="452"/>
      <c r="F7" s="453"/>
      <c r="G7" s="385"/>
      <c r="H7" s="385"/>
      <c r="I7" s="386"/>
      <c r="J7" s="386"/>
      <c r="K7" s="601"/>
      <c r="L7" s="601"/>
      <c r="M7" s="601"/>
      <c r="N7" s="453"/>
      <c r="O7" s="454" t="s">
        <v>215</v>
      </c>
      <c r="P7" s="454"/>
      <c r="R7" s="449"/>
    </row>
    <row r="8" spans="2:18" ht="7" customHeight="1">
      <c r="R8" s="449"/>
    </row>
    <row r="9" spans="2:18" ht="23.5">
      <c r="B9" s="826" t="s">
        <v>163</v>
      </c>
      <c r="C9" s="826"/>
      <c r="D9" s="826"/>
      <c r="E9" s="826"/>
      <c r="F9" s="456"/>
      <c r="G9" s="827" t="s">
        <v>22</v>
      </c>
      <c r="H9" s="827"/>
      <c r="I9" s="456"/>
      <c r="J9" s="602"/>
      <c r="K9" s="827" t="s">
        <v>12</v>
      </c>
      <c r="L9" s="827"/>
      <c r="M9" s="827"/>
      <c r="N9" s="456"/>
      <c r="O9" s="827" t="s">
        <v>23</v>
      </c>
      <c r="P9" s="827"/>
      <c r="Q9" s="459"/>
      <c r="R9" s="459"/>
    </row>
    <row r="10" spans="2:18" ht="18.5">
      <c r="B10" s="459"/>
      <c r="C10" s="459"/>
      <c r="D10" s="459"/>
      <c r="E10" s="459"/>
      <c r="F10" s="459"/>
      <c r="G10" s="459"/>
      <c r="H10" s="459"/>
      <c r="I10" s="459"/>
      <c r="J10" s="459"/>
      <c r="K10" s="459"/>
      <c r="L10" s="459"/>
      <c r="M10" s="459"/>
      <c r="N10" s="459"/>
      <c r="O10" s="459"/>
      <c r="P10" s="459"/>
      <c r="Q10" s="459"/>
      <c r="R10" s="459"/>
    </row>
    <row r="11" spans="2:18" ht="19" customHeight="1">
      <c r="B11" s="460" t="s">
        <v>187</v>
      </c>
      <c r="C11" s="461"/>
      <c r="D11" s="461"/>
      <c r="E11" s="461"/>
      <c r="F11" s="461"/>
      <c r="G11" s="603" t="s">
        <v>375</v>
      </c>
      <c r="H11" s="463">
        <v>1</v>
      </c>
      <c r="I11" s="464"/>
      <c r="J11" s="863" t="s">
        <v>373</v>
      </c>
      <c r="K11" s="863"/>
      <c r="L11" s="863"/>
      <c r="M11" s="605">
        <v>1</v>
      </c>
      <c r="N11" s="464"/>
      <c r="O11" s="828" t="s">
        <v>27</v>
      </c>
      <c r="P11" s="829"/>
      <c r="Q11" s="461"/>
      <c r="R11" s="461"/>
    </row>
    <row r="12" spans="2:18" ht="19" customHeight="1">
      <c r="B12" s="465" t="s">
        <v>188</v>
      </c>
      <c r="C12" s="461"/>
      <c r="D12" s="461"/>
      <c r="E12" s="461"/>
      <c r="F12" s="461"/>
      <c r="G12" s="603" t="s">
        <v>376</v>
      </c>
      <c r="H12" s="466">
        <v>2</v>
      </c>
      <c r="I12" s="464"/>
      <c r="J12" s="866" t="s">
        <v>372</v>
      </c>
      <c r="K12" s="863"/>
      <c r="L12" s="863"/>
      <c r="M12" s="606">
        <v>2</v>
      </c>
      <c r="N12" s="464"/>
      <c r="O12" s="837" t="s">
        <v>28</v>
      </c>
      <c r="P12" s="838"/>
      <c r="Q12" s="461"/>
      <c r="R12" s="461"/>
    </row>
    <row r="13" spans="2:18" ht="19" customHeight="1">
      <c r="B13" s="460" t="s">
        <v>189</v>
      </c>
      <c r="C13" s="461"/>
      <c r="D13" s="461"/>
      <c r="E13" s="461"/>
      <c r="F13" s="461"/>
      <c r="G13" s="603" t="s">
        <v>377</v>
      </c>
      <c r="H13" s="467">
        <v>3</v>
      </c>
      <c r="I13" s="464"/>
      <c r="J13" s="607"/>
      <c r="K13" s="608" t="s">
        <v>374</v>
      </c>
      <c r="L13" s="608"/>
      <c r="M13" s="609">
        <v>3</v>
      </c>
      <c r="N13" s="464"/>
      <c r="O13" s="839" t="s">
        <v>29</v>
      </c>
      <c r="P13" s="840"/>
      <c r="Q13" s="461"/>
      <c r="R13" s="461"/>
    </row>
    <row r="14" spans="2:18" ht="19" customHeight="1">
      <c r="B14" s="468"/>
      <c r="C14" s="461"/>
      <c r="D14" s="461"/>
      <c r="E14" s="461"/>
      <c r="F14" s="461"/>
      <c r="G14" s="604" t="s">
        <v>370</v>
      </c>
      <c r="H14" s="469">
        <v>4</v>
      </c>
      <c r="I14" s="470"/>
      <c r="J14" s="865" t="s">
        <v>361</v>
      </c>
      <c r="K14" s="865"/>
      <c r="L14" s="865"/>
      <c r="M14" s="610">
        <v>4</v>
      </c>
      <c r="N14" s="470"/>
      <c r="O14" s="831" t="s">
        <v>30</v>
      </c>
      <c r="P14" s="832"/>
      <c r="Q14" s="461"/>
      <c r="R14" s="461"/>
    </row>
    <row r="15" spans="2:18" ht="19" customHeight="1">
      <c r="B15" s="468"/>
      <c r="C15" s="461"/>
      <c r="D15" s="461"/>
      <c r="E15" s="461"/>
      <c r="F15" s="461"/>
      <c r="G15" s="604" t="s">
        <v>371</v>
      </c>
      <c r="H15" s="472">
        <v>5</v>
      </c>
      <c r="I15" s="470"/>
      <c r="J15" s="863" t="s">
        <v>360</v>
      </c>
      <c r="K15" s="863"/>
      <c r="L15" s="863"/>
      <c r="M15" s="611">
        <v>5</v>
      </c>
      <c r="N15" s="470"/>
      <c r="O15" s="833" t="s">
        <v>45</v>
      </c>
      <c r="P15" s="834"/>
      <c r="Q15" s="461"/>
      <c r="R15" s="461"/>
    </row>
    <row r="16" spans="2:18">
      <c r="B16" s="473"/>
      <c r="C16" s="461"/>
      <c r="D16" s="461"/>
      <c r="E16" s="461"/>
      <c r="F16" s="461"/>
      <c r="G16" s="461"/>
      <c r="H16" s="461"/>
      <c r="I16" s="461"/>
      <c r="J16" s="461"/>
      <c r="K16" s="461"/>
      <c r="L16" s="461"/>
      <c r="M16" s="461"/>
      <c r="N16" s="461"/>
      <c r="O16" s="461"/>
      <c r="P16" s="461"/>
      <c r="Q16" s="461"/>
      <c r="R16" s="461"/>
    </row>
    <row r="17" spans="2:18" ht="35" customHeight="1">
      <c r="B17" s="454" t="s">
        <v>58</v>
      </c>
      <c r="C17" s="474" t="s">
        <v>50</v>
      </c>
      <c r="D17" s="474" t="s">
        <v>51</v>
      </c>
      <c r="E17" s="475" t="s">
        <v>52</v>
      </c>
      <c r="F17" s="476"/>
      <c r="G17" s="454" t="s">
        <v>51</v>
      </c>
      <c r="H17" s="474" t="s">
        <v>53</v>
      </c>
      <c r="I17" s="476"/>
      <c r="J17" s="612" t="s">
        <v>13</v>
      </c>
      <c r="K17" s="454" t="s">
        <v>51</v>
      </c>
      <c r="L17" s="474"/>
      <c r="M17" s="474" t="s">
        <v>53</v>
      </c>
      <c r="N17" s="477"/>
      <c r="O17" s="474" t="s">
        <v>54</v>
      </c>
      <c r="P17" s="474" t="s">
        <v>51</v>
      </c>
      <c r="Q17" s="464"/>
      <c r="R17" s="464"/>
    </row>
    <row r="18" spans="2:18">
      <c r="H18" s="464"/>
      <c r="I18" s="464"/>
      <c r="R18" s="449"/>
    </row>
    <row r="19" spans="2:18" ht="16" customHeight="1">
      <c r="B19" s="480"/>
      <c r="C19" s="480"/>
      <c r="D19" s="480"/>
      <c r="E19" s="481"/>
      <c r="F19" s="489"/>
      <c r="G19" s="480"/>
      <c r="H19" s="571"/>
      <c r="I19" s="489"/>
      <c r="J19" s="481"/>
      <c r="K19" s="480"/>
      <c r="L19" s="480"/>
      <c r="M19" s="571"/>
      <c r="N19" s="489"/>
      <c r="O19" s="719" t="str">
        <f>IF(M19&gt;0,H19*M19,"")</f>
        <v/>
      </c>
      <c r="P19" s="571"/>
      <c r="R19" s="449"/>
    </row>
    <row r="20" spans="2:18" ht="16" customHeight="1">
      <c r="B20" s="480"/>
      <c r="C20" s="480"/>
      <c r="D20" s="480"/>
      <c r="E20" s="481"/>
      <c r="F20" s="489"/>
      <c r="G20" s="480"/>
      <c r="H20" s="571"/>
      <c r="I20" s="489"/>
      <c r="J20" s="481"/>
      <c r="K20" s="480"/>
      <c r="L20" s="480"/>
      <c r="M20" s="571"/>
      <c r="N20" s="489"/>
      <c r="O20" s="719" t="str">
        <f t="shared" ref="O20:O55" si="0">IF(M20&gt;0,H20*M20,"")</f>
        <v/>
      </c>
      <c r="P20" s="571"/>
      <c r="R20" s="449"/>
    </row>
    <row r="21" spans="2:18" ht="16" customHeight="1">
      <c r="B21" s="480"/>
      <c r="C21" s="480"/>
      <c r="D21" s="480"/>
      <c r="E21" s="481"/>
      <c r="F21" s="489"/>
      <c r="G21" s="480"/>
      <c r="H21" s="571"/>
      <c r="I21" s="489"/>
      <c r="J21" s="481"/>
      <c r="K21" s="480"/>
      <c r="L21" s="480"/>
      <c r="M21" s="571"/>
      <c r="N21" s="489"/>
      <c r="O21" s="719" t="str">
        <f t="shared" si="0"/>
        <v/>
      </c>
      <c r="P21" s="571"/>
      <c r="R21" s="449"/>
    </row>
    <row r="22" spans="2:18" ht="16" customHeight="1">
      <c r="B22" s="480"/>
      <c r="C22" s="480"/>
      <c r="D22" s="480"/>
      <c r="E22" s="481"/>
      <c r="F22" s="489"/>
      <c r="G22" s="480"/>
      <c r="H22" s="571"/>
      <c r="I22" s="489"/>
      <c r="J22" s="481"/>
      <c r="K22" s="480"/>
      <c r="L22" s="480"/>
      <c r="M22" s="571"/>
      <c r="N22" s="489"/>
      <c r="O22" s="719" t="str">
        <f t="shared" si="0"/>
        <v/>
      </c>
      <c r="P22" s="571"/>
      <c r="R22" s="449"/>
    </row>
    <row r="23" spans="2:18" ht="16" customHeight="1">
      <c r="B23" s="480"/>
      <c r="C23" s="480"/>
      <c r="D23" s="480"/>
      <c r="E23" s="481"/>
      <c r="F23" s="489"/>
      <c r="G23" s="480"/>
      <c r="H23" s="571"/>
      <c r="I23" s="489"/>
      <c r="J23" s="481"/>
      <c r="K23" s="480"/>
      <c r="L23" s="480"/>
      <c r="M23" s="571"/>
      <c r="N23" s="489"/>
      <c r="O23" s="719" t="str">
        <f t="shared" si="0"/>
        <v/>
      </c>
      <c r="P23" s="571"/>
      <c r="R23" s="449"/>
    </row>
    <row r="24" spans="2:18" ht="16" customHeight="1">
      <c r="B24" s="480"/>
      <c r="C24" s="480"/>
      <c r="D24" s="480"/>
      <c r="E24" s="481"/>
      <c r="F24" s="489"/>
      <c r="G24" s="480"/>
      <c r="H24" s="571"/>
      <c r="I24" s="489"/>
      <c r="J24" s="481"/>
      <c r="K24" s="480"/>
      <c r="L24" s="480"/>
      <c r="M24" s="571"/>
      <c r="N24" s="489"/>
      <c r="O24" s="719" t="str">
        <f t="shared" si="0"/>
        <v/>
      </c>
      <c r="P24" s="571"/>
      <c r="R24" s="449"/>
    </row>
    <row r="25" spans="2:18" ht="16" customHeight="1">
      <c r="B25" s="480"/>
      <c r="C25" s="480"/>
      <c r="D25" s="480"/>
      <c r="E25" s="481"/>
      <c r="F25" s="489"/>
      <c r="G25" s="487"/>
      <c r="H25" s="571"/>
      <c r="I25" s="489"/>
      <c r="J25" s="481"/>
      <c r="K25" s="480"/>
      <c r="L25" s="487"/>
      <c r="M25" s="571"/>
      <c r="N25" s="489"/>
      <c r="O25" s="719" t="str">
        <f t="shared" si="0"/>
        <v/>
      </c>
      <c r="P25" s="571"/>
      <c r="R25" s="449"/>
    </row>
    <row r="26" spans="2:18" ht="16" customHeight="1">
      <c r="B26" s="480"/>
      <c r="C26" s="480"/>
      <c r="D26" s="480"/>
      <c r="E26" s="481"/>
      <c r="F26" s="489"/>
      <c r="G26" s="480"/>
      <c r="H26" s="571"/>
      <c r="I26" s="489"/>
      <c r="J26" s="481"/>
      <c r="K26" s="480"/>
      <c r="L26" s="487"/>
      <c r="M26" s="571"/>
      <c r="N26" s="489"/>
      <c r="O26" s="719" t="str">
        <f t="shared" si="0"/>
        <v/>
      </c>
      <c r="P26" s="571"/>
      <c r="R26" s="449"/>
    </row>
    <row r="27" spans="2:18" ht="16" customHeight="1">
      <c r="B27" s="480"/>
      <c r="C27" s="480"/>
      <c r="D27" s="480"/>
      <c r="E27" s="481"/>
      <c r="F27" s="489"/>
      <c r="G27" s="480"/>
      <c r="H27" s="571"/>
      <c r="I27" s="489"/>
      <c r="J27" s="481"/>
      <c r="K27" s="480"/>
      <c r="L27" s="480"/>
      <c r="M27" s="571"/>
      <c r="N27" s="489"/>
      <c r="O27" s="719" t="str">
        <f t="shared" si="0"/>
        <v/>
      </c>
      <c r="P27" s="571"/>
      <c r="R27" s="449"/>
    </row>
    <row r="28" spans="2:18" ht="16" customHeight="1">
      <c r="B28" s="480"/>
      <c r="C28" s="480"/>
      <c r="D28" s="480"/>
      <c r="E28" s="481"/>
      <c r="F28" s="489"/>
      <c r="G28" s="480"/>
      <c r="H28" s="571"/>
      <c r="I28" s="489"/>
      <c r="J28" s="481"/>
      <c r="K28" s="480"/>
      <c r="L28" s="480"/>
      <c r="M28" s="571"/>
      <c r="N28" s="489"/>
      <c r="O28" s="719" t="str">
        <f t="shared" si="0"/>
        <v/>
      </c>
      <c r="P28" s="571"/>
      <c r="R28" s="449"/>
    </row>
    <row r="29" spans="2:18" ht="16" customHeight="1">
      <c r="B29" s="480"/>
      <c r="C29" s="480"/>
      <c r="D29" s="480"/>
      <c r="E29" s="481"/>
      <c r="F29" s="489"/>
      <c r="G29" s="480"/>
      <c r="H29" s="571"/>
      <c r="I29" s="489"/>
      <c r="J29" s="481"/>
      <c r="K29" s="480"/>
      <c r="L29" s="480"/>
      <c r="M29" s="571"/>
      <c r="N29" s="489"/>
      <c r="O29" s="719" t="str">
        <f t="shared" si="0"/>
        <v/>
      </c>
      <c r="P29" s="571"/>
      <c r="R29" s="449"/>
    </row>
    <row r="30" spans="2:18" ht="16" customHeight="1">
      <c r="B30" s="480"/>
      <c r="C30" s="480"/>
      <c r="D30" s="480"/>
      <c r="E30" s="481"/>
      <c r="F30" s="489"/>
      <c r="G30" s="480"/>
      <c r="H30" s="571"/>
      <c r="I30" s="489"/>
      <c r="J30" s="481"/>
      <c r="K30" s="480"/>
      <c r="L30" s="480"/>
      <c r="M30" s="571"/>
      <c r="N30" s="489"/>
      <c r="O30" s="719" t="str">
        <f t="shared" si="0"/>
        <v/>
      </c>
      <c r="P30" s="571"/>
      <c r="R30" s="449"/>
    </row>
    <row r="31" spans="2:18" ht="16" customHeight="1">
      <c r="B31" s="480"/>
      <c r="C31" s="480"/>
      <c r="D31" s="480"/>
      <c r="E31" s="481"/>
      <c r="F31" s="489"/>
      <c r="G31" s="480"/>
      <c r="H31" s="571"/>
      <c r="I31" s="489"/>
      <c r="J31" s="481"/>
      <c r="K31" s="480"/>
      <c r="L31" s="480"/>
      <c r="M31" s="571"/>
      <c r="N31" s="489"/>
      <c r="O31" s="719" t="str">
        <f t="shared" si="0"/>
        <v/>
      </c>
      <c r="P31" s="571"/>
      <c r="R31" s="449"/>
    </row>
    <row r="32" spans="2:18" ht="16" customHeight="1">
      <c r="B32" s="480"/>
      <c r="C32" s="480"/>
      <c r="D32" s="480"/>
      <c r="E32" s="481"/>
      <c r="F32" s="489"/>
      <c r="G32" s="480"/>
      <c r="H32" s="571"/>
      <c r="I32" s="489"/>
      <c r="J32" s="481"/>
      <c r="K32" s="480"/>
      <c r="L32" s="480"/>
      <c r="M32" s="571"/>
      <c r="N32" s="489"/>
      <c r="O32" s="719" t="str">
        <f t="shared" si="0"/>
        <v/>
      </c>
      <c r="P32" s="571"/>
      <c r="R32" s="449"/>
    </row>
    <row r="33" spans="2:18" ht="16" customHeight="1">
      <c r="B33" s="480"/>
      <c r="C33" s="480"/>
      <c r="D33" s="480"/>
      <c r="E33" s="481"/>
      <c r="F33" s="489"/>
      <c r="G33" s="480"/>
      <c r="H33" s="571"/>
      <c r="I33" s="489"/>
      <c r="J33" s="481"/>
      <c r="K33" s="480"/>
      <c r="L33" s="480"/>
      <c r="M33" s="571"/>
      <c r="N33" s="489"/>
      <c r="O33" s="719" t="str">
        <f t="shared" si="0"/>
        <v/>
      </c>
      <c r="P33" s="571"/>
      <c r="R33" s="449"/>
    </row>
    <row r="34" spans="2:18" ht="16" customHeight="1">
      <c r="B34" s="480"/>
      <c r="C34" s="480"/>
      <c r="D34" s="480"/>
      <c r="E34" s="481"/>
      <c r="F34" s="489"/>
      <c r="G34" s="480"/>
      <c r="H34" s="571"/>
      <c r="I34" s="489"/>
      <c r="J34" s="481"/>
      <c r="K34" s="480"/>
      <c r="L34" s="480"/>
      <c r="M34" s="571"/>
      <c r="N34" s="489"/>
      <c r="O34" s="719" t="str">
        <f t="shared" si="0"/>
        <v/>
      </c>
      <c r="P34" s="571"/>
      <c r="R34" s="449"/>
    </row>
    <row r="35" spans="2:18" ht="16" customHeight="1">
      <c r="B35" s="480"/>
      <c r="C35" s="480"/>
      <c r="D35" s="480"/>
      <c r="E35" s="481"/>
      <c r="F35" s="489"/>
      <c r="G35" s="480"/>
      <c r="H35" s="571"/>
      <c r="I35" s="489"/>
      <c r="J35" s="481"/>
      <c r="K35" s="480"/>
      <c r="L35" s="480"/>
      <c r="M35" s="571"/>
      <c r="N35" s="489"/>
      <c r="O35" s="719" t="str">
        <f t="shared" si="0"/>
        <v/>
      </c>
      <c r="P35" s="571"/>
      <c r="R35" s="449"/>
    </row>
    <row r="36" spans="2:18" ht="16" customHeight="1">
      <c r="B36" s="480"/>
      <c r="C36" s="480"/>
      <c r="D36" s="480"/>
      <c r="E36" s="481"/>
      <c r="F36" s="489"/>
      <c r="G36" s="480"/>
      <c r="H36" s="571"/>
      <c r="I36" s="489"/>
      <c r="J36" s="481"/>
      <c r="K36" s="480"/>
      <c r="L36" s="480"/>
      <c r="M36" s="571"/>
      <c r="N36" s="489"/>
      <c r="O36" s="719" t="str">
        <f t="shared" si="0"/>
        <v/>
      </c>
      <c r="P36" s="571"/>
      <c r="R36" s="449"/>
    </row>
    <row r="37" spans="2:18" ht="16" customHeight="1">
      <c r="B37" s="480"/>
      <c r="C37" s="480"/>
      <c r="D37" s="480"/>
      <c r="E37" s="481"/>
      <c r="F37" s="489"/>
      <c r="G37" s="480"/>
      <c r="H37" s="571"/>
      <c r="I37" s="489"/>
      <c r="J37" s="481"/>
      <c r="K37" s="480"/>
      <c r="L37" s="480"/>
      <c r="M37" s="571"/>
      <c r="N37" s="489"/>
      <c r="O37" s="719" t="str">
        <f t="shared" si="0"/>
        <v/>
      </c>
      <c r="P37" s="571"/>
      <c r="R37" s="449"/>
    </row>
    <row r="38" spans="2:18" ht="16" customHeight="1">
      <c r="B38" s="480"/>
      <c r="C38" s="480"/>
      <c r="D38" s="480"/>
      <c r="E38" s="481"/>
      <c r="F38" s="489"/>
      <c r="G38" s="480"/>
      <c r="H38" s="571"/>
      <c r="I38" s="489"/>
      <c r="J38" s="481"/>
      <c r="K38" s="480"/>
      <c r="L38" s="480"/>
      <c r="M38" s="571"/>
      <c r="N38" s="489"/>
      <c r="O38" s="719" t="str">
        <f t="shared" si="0"/>
        <v/>
      </c>
      <c r="P38" s="571"/>
      <c r="R38" s="449"/>
    </row>
    <row r="39" spans="2:18" ht="16" customHeight="1">
      <c r="B39" s="480"/>
      <c r="C39" s="480"/>
      <c r="D39" s="480"/>
      <c r="E39" s="481"/>
      <c r="F39" s="489"/>
      <c r="G39" s="480"/>
      <c r="H39" s="571"/>
      <c r="I39" s="489"/>
      <c r="J39" s="481"/>
      <c r="K39" s="480"/>
      <c r="L39" s="480"/>
      <c r="M39" s="571"/>
      <c r="N39" s="489"/>
      <c r="O39" s="719" t="str">
        <f t="shared" si="0"/>
        <v/>
      </c>
      <c r="P39" s="571"/>
      <c r="R39" s="449"/>
    </row>
    <row r="40" spans="2:18" ht="16" customHeight="1">
      <c r="B40" s="480"/>
      <c r="C40" s="480"/>
      <c r="D40" s="480"/>
      <c r="E40" s="481"/>
      <c r="F40" s="489"/>
      <c r="G40" s="480"/>
      <c r="H40" s="571"/>
      <c r="I40" s="489"/>
      <c r="J40" s="481"/>
      <c r="K40" s="480"/>
      <c r="L40" s="480"/>
      <c r="M40" s="571"/>
      <c r="N40" s="489"/>
      <c r="O40" s="719" t="str">
        <f t="shared" si="0"/>
        <v/>
      </c>
      <c r="P40" s="571"/>
      <c r="R40" s="449"/>
    </row>
    <row r="41" spans="2:18" ht="16" customHeight="1">
      <c r="B41" s="480"/>
      <c r="C41" s="480"/>
      <c r="D41" s="480"/>
      <c r="E41" s="481"/>
      <c r="F41" s="489"/>
      <c r="G41" s="480"/>
      <c r="H41" s="571"/>
      <c r="I41" s="489"/>
      <c r="J41" s="481"/>
      <c r="K41" s="480"/>
      <c r="L41" s="480"/>
      <c r="M41" s="571"/>
      <c r="N41" s="489"/>
      <c r="O41" s="719" t="str">
        <f t="shared" si="0"/>
        <v/>
      </c>
      <c r="P41" s="571"/>
      <c r="R41" s="449"/>
    </row>
    <row r="42" spans="2:18" ht="16" customHeight="1">
      <c r="B42" s="480"/>
      <c r="C42" s="480"/>
      <c r="D42" s="480"/>
      <c r="E42" s="481"/>
      <c r="F42" s="489"/>
      <c r="G42" s="480"/>
      <c r="H42" s="571"/>
      <c r="I42" s="489"/>
      <c r="J42" s="481"/>
      <c r="K42" s="480"/>
      <c r="L42" s="480"/>
      <c r="M42" s="571"/>
      <c r="N42" s="489"/>
      <c r="O42" s="719" t="str">
        <f t="shared" si="0"/>
        <v/>
      </c>
      <c r="P42" s="571"/>
      <c r="R42" s="449"/>
    </row>
    <row r="43" spans="2:18" ht="16" customHeight="1">
      <c r="B43" s="480"/>
      <c r="C43" s="480"/>
      <c r="D43" s="480"/>
      <c r="E43" s="481"/>
      <c r="F43" s="489"/>
      <c r="G43" s="480"/>
      <c r="H43" s="571"/>
      <c r="I43" s="489"/>
      <c r="J43" s="481"/>
      <c r="K43" s="480"/>
      <c r="L43" s="480"/>
      <c r="M43" s="571"/>
      <c r="N43" s="489"/>
      <c r="O43" s="719" t="str">
        <f t="shared" si="0"/>
        <v/>
      </c>
      <c r="P43" s="571"/>
      <c r="R43" s="449"/>
    </row>
    <row r="44" spans="2:18" ht="16" customHeight="1">
      <c r="B44" s="480"/>
      <c r="C44" s="480"/>
      <c r="D44" s="480"/>
      <c r="E44" s="481"/>
      <c r="F44" s="489"/>
      <c r="G44" s="480"/>
      <c r="H44" s="571"/>
      <c r="I44" s="489"/>
      <c r="J44" s="481"/>
      <c r="K44" s="480"/>
      <c r="L44" s="480"/>
      <c r="M44" s="571"/>
      <c r="N44" s="489"/>
      <c r="O44" s="719" t="str">
        <f t="shared" si="0"/>
        <v/>
      </c>
      <c r="P44" s="571"/>
      <c r="R44" s="449"/>
    </row>
    <row r="45" spans="2:18" ht="16" customHeight="1">
      <c r="B45" s="480"/>
      <c r="C45" s="480"/>
      <c r="D45" s="480"/>
      <c r="E45" s="481"/>
      <c r="F45" s="489"/>
      <c r="G45" s="480"/>
      <c r="H45" s="571"/>
      <c r="I45" s="489"/>
      <c r="J45" s="481"/>
      <c r="K45" s="480"/>
      <c r="L45" s="480"/>
      <c r="M45" s="571"/>
      <c r="N45" s="489"/>
      <c r="O45" s="719" t="str">
        <f t="shared" si="0"/>
        <v/>
      </c>
      <c r="P45" s="571"/>
      <c r="R45" s="449"/>
    </row>
    <row r="46" spans="2:18" ht="16" customHeight="1">
      <c r="B46" s="480"/>
      <c r="C46" s="480"/>
      <c r="D46" s="480"/>
      <c r="E46" s="481"/>
      <c r="F46" s="489"/>
      <c r="G46" s="480"/>
      <c r="H46" s="571"/>
      <c r="I46" s="489"/>
      <c r="J46" s="481"/>
      <c r="K46" s="480"/>
      <c r="L46" s="480"/>
      <c r="M46" s="571"/>
      <c r="N46" s="489"/>
      <c r="O46" s="719" t="str">
        <f t="shared" si="0"/>
        <v/>
      </c>
      <c r="P46" s="571"/>
      <c r="R46" s="449"/>
    </row>
    <row r="47" spans="2:18" ht="16" customHeight="1">
      <c r="B47" s="480"/>
      <c r="C47" s="480"/>
      <c r="D47" s="480"/>
      <c r="E47" s="481"/>
      <c r="F47" s="489"/>
      <c r="G47" s="480"/>
      <c r="H47" s="571"/>
      <c r="I47" s="489"/>
      <c r="J47" s="481"/>
      <c r="K47" s="480"/>
      <c r="L47" s="480"/>
      <c r="M47" s="571"/>
      <c r="N47" s="489"/>
      <c r="O47" s="719" t="str">
        <f t="shared" si="0"/>
        <v/>
      </c>
      <c r="P47" s="571"/>
      <c r="R47" s="449"/>
    </row>
    <row r="48" spans="2:18" ht="16" customHeight="1">
      <c r="B48" s="480"/>
      <c r="C48" s="480"/>
      <c r="D48" s="480"/>
      <c r="E48" s="481"/>
      <c r="F48" s="489"/>
      <c r="G48" s="480"/>
      <c r="H48" s="571"/>
      <c r="I48" s="489"/>
      <c r="J48" s="481"/>
      <c r="K48" s="480"/>
      <c r="L48" s="480"/>
      <c r="M48" s="571"/>
      <c r="N48" s="489"/>
      <c r="O48" s="719" t="str">
        <f t="shared" si="0"/>
        <v/>
      </c>
      <c r="P48" s="571"/>
      <c r="R48" s="449"/>
    </row>
    <row r="49" spans="2:18" ht="16" customHeight="1">
      <c r="B49" s="480"/>
      <c r="C49" s="480"/>
      <c r="D49" s="480"/>
      <c r="E49" s="481"/>
      <c r="F49" s="489"/>
      <c r="G49" s="480"/>
      <c r="H49" s="571"/>
      <c r="I49" s="489"/>
      <c r="J49" s="481"/>
      <c r="K49" s="480"/>
      <c r="L49" s="480"/>
      <c r="M49" s="571"/>
      <c r="N49" s="489"/>
      <c r="O49" s="719" t="str">
        <f t="shared" si="0"/>
        <v/>
      </c>
      <c r="P49" s="571"/>
      <c r="R49" s="449"/>
    </row>
    <row r="50" spans="2:18" ht="16" customHeight="1">
      <c r="B50" s="480"/>
      <c r="C50" s="480"/>
      <c r="D50" s="480"/>
      <c r="E50" s="481"/>
      <c r="F50" s="489"/>
      <c r="G50" s="480"/>
      <c r="H50" s="571"/>
      <c r="I50" s="489"/>
      <c r="J50" s="481"/>
      <c r="K50" s="480"/>
      <c r="L50" s="480"/>
      <c r="M50" s="571"/>
      <c r="N50" s="489"/>
      <c r="O50" s="719" t="str">
        <f t="shared" si="0"/>
        <v/>
      </c>
      <c r="P50" s="571"/>
      <c r="R50" s="449"/>
    </row>
    <row r="51" spans="2:18" ht="16" customHeight="1">
      <c r="B51" s="480"/>
      <c r="C51" s="480"/>
      <c r="D51" s="480"/>
      <c r="E51" s="481"/>
      <c r="F51" s="489"/>
      <c r="G51" s="480"/>
      <c r="H51" s="571"/>
      <c r="I51" s="489"/>
      <c r="J51" s="481"/>
      <c r="K51" s="480"/>
      <c r="L51" s="480"/>
      <c r="M51" s="571"/>
      <c r="N51" s="489"/>
      <c r="O51" s="719" t="str">
        <f t="shared" si="0"/>
        <v/>
      </c>
      <c r="P51" s="571"/>
      <c r="R51" s="449"/>
    </row>
    <row r="52" spans="2:18" ht="16" customHeight="1">
      <c r="B52" s="480"/>
      <c r="C52" s="480"/>
      <c r="D52" s="480"/>
      <c r="E52" s="481"/>
      <c r="F52" s="489"/>
      <c r="G52" s="480"/>
      <c r="H52" s="571"/>
      <c r="I52" s="489"/>
      <c r="J52" s="481"/>
      <c r="K52" s="480"/>
      <c r="L52" s="480"/>
      <c r="M52" s="571"/>
      <c r="N52" s="489"/>
      <c r="O52" s="719" t="str">
        <f t="shared" si="0"/>
        <v/>
      </c>
      <c r="P52" s="571"/>
      <c r="R52" s="449"/>
    </row>
    <row r="53" spans="2:18" ht="16" customHeight="1">
      <c r="B53" s="480"/>
      <c r="C53" s="480"/>
      <c r="D53" s="480"/>
      <c r="E53" s="481"/>
      <c r="F53" s="489"/>
      <c r="G53" s="480"/>
      <c r="H53" s="571"/>
      <c r="I53" s="489"/>
      <c r="J53" s="481"/>
      <c r="K53" s="480"/>
      <c r="L53" s="480"/>
      <c r="M53" s="571"/>
      <c r="N53" s="489"/>
      <c r="O53" s="719" t="str">
        <f t="shared" si="0"/>
        <v/>
      </c>
      <c r="P53" s="571"/>
      <c r="R53" s="449"/>
    </row>
    <row r="54" spans="2:18" ht="16" customHeight="1">
      <c r="B54" s="480"/>
      <c r="C54" s="480"/>
      <c r="D54" s="480"/>
      <c r="E54" s="481"/>
      <c r="F54" s="489"/>
      <c r="G54" s="480"/>
      <c r="H54" s="571"/>
      <c r="I54" s="489"/>
      <c r="J54" s="481"/>
      <c r="K54" s="480"/>
      <c r="L54" s="480"/>
      <c r="M54" s="571"/>
      <c r="N54" s="489"/>
      <c r="O54" s="719" t="str">
        <f t="shared" si="0"/>
        <v/>
      </c>
      <c r="P54" s="571"/>
      <c r="R54" s="449"/>
    </row>
    <row r="55" spans="2:18" ht="16" customHeight="1">
      <c r="B55" s="480"/>
      <c r="C55" s="480"/>
      <c r="D55" s="480"/>
      <c r="E55" s="481"/>
      <c r="F55" s="489"/>
      <c r="G55" s="480"/>
      <c r="H55" s="571"/>
      <c r="I55" s="489"/>
      <c r="J55" s="481"/>
      <c r="K55" s="480"/>
      <c r="L55" s="480"/>
      <c r="M55" s="571"/>
      <c r="N55" s="489"/>
      <c r="O55" s="719" t="str">
        <f t="shared" si="0"/>
        <v/>
      </c>
      <c r="P55" s="571"/>
      <c r="R55" s="449"/>
    </row>
    <row r="56" spans="2:18" ht="5" customHeight="1" thickBot="1">
      <c r="C56" s="489"/>
      <c r="E56" s="451"/>
      <c r="F56" s="451"/>
      <c r="G56" s="580"/>
      <c r="H56" s="581"/>
      <c r="J56" s="451"/>
      <c r="M56" s="464"/>
      <c r="R56" s="449"/>
    </row>
    <row r="57" spans="2:18" ht="63" customHeight="1" thickBot="1">
      <c r="B57" s="492"/>
      <c r="C57" s="613"/>
      <c r="D57" s="614" t="s">
        <v>24</v>
      </c>
      <c r="E57" s="720">
        <f>SUM(E19:E55)</f>
        <v>0</v>
      </c>
      <c r="F57" s="491"/>
      <c r="G57" s="600" t="s">
        <v>25</v>
      </c>
      <c r="H57" s="721" t="str">
        <f>IFERROR(SUMIF(H19:H55,"&lt;4",$E19:$E55)/$E57,"n/a")</f>
        <v>n/a</v>
      </c>
      <c r="I57" s="491"/>
      <c r="J57" s="614">
        <f>SUM(J19:J55)</f>
        <v>0</v>
      </c>
      <c r="K57" s="823" t="s">
        <v>57</v>
      </c>
      <c r="L57" s="824"/>
      <c r="M57" s="721" t="str">
        <f>IFERROR(SUMIF(M19:M55,"&lt;4",$E19:$E55)/$E57,"n/a")</f>
        <v>n/a</v>
      </c>
      <c r="N57" s="492"/>
      <c r="O57" s="493"/>
      <c r="P57" s="494"/>
      <c r="Q57" s="492"/>
      <c r="R57" s="492"/>
    </row>
    <row r="58" spans="2:18" ht="5" customHeight="1">
      <c r="B58" s="495"/>
      <c r="C58" s="451"/>
      <c r="D58" s="451"/>
      <c r="E58" s="451"/>
      <c r="F58" s="451"/>
      <c r="G58" s="451"/>
      <c r="H58" s="451"/>
      <c r="I58" s="451"/>
      <c r="J58" s="451"/>
      <c r="K58" s="451"/>
      <c r="L58" s="451"/>
      <c r="M58" s="451"/>
      <c r="N58" s="451"/>
      <c r="O58" s="496"/>
      <c r="P58" s="497"/>
      <c r="Q58" s="451"/>
    </row>
    <row r="59" spans="2:18" ht="19" customHeight="1">
      <c r="B59" s="815" t="s">
        <v>663</v>
      </c>
      <c r="C59" s="816"/>
      <c r="D59" s="816"/>
      <c r="E59" s="816"/>
      <c r="G59" s="597" t="s">
        <v>423</v>
      </c>
      <c r="H59" s="498">
        <v>0.5</v>
      </c>
      <c r="I59" s="582"/>
      <c r="J59" s="582"/>
      <c r="K59" s="822" t="s">
        <v>423</v>
      </c>
      <c r="L59" s="822"/>
      <c r="M59" s="498">
        <v>0.65</v>
      </c>
      <c r="O59" s="499"/>
      <c r="P59" s="500"/>
      <c r="R59" s="449"/>
    </row>
    <row r="60" spans="2:18" ht="19" customHeight="1">
      <c r="B60" s="816"/>
      <c r="C60" s="816"/>
      <c r="D60" s="816"/>
      <c r="E60" s="816"/>
      <c r="G60" s="597" t="s">
        <v>33</v>
      </c>
      <c r="H60" s="498">
        <v>0.6</v>
      </c>
      <c r="K60" s="822" t="s">
        <v>33</v>
      </c>
      <c r="L60" s="822"/>
      <c r="M60" s="498">
        <v>0.7</v>
      </c>
      <c r="O60" s="499"/>
      <c r="P60" s="500"/>
      <c r="R60" s="449"/>
    </row>
    <row r="61" spans="2:18" ht="19" customHeight="1">
      <c r="B61" s="816"/>
      <c r="C61" s="816"/>
      <c r="D61" s="816"/>
      <c r="E61" s="816"/>
      <c r="G61" s="597" t="s">
        <v>32</v>
      </c>
      <c r="H61" s="498">
        <v>0.75</v>
      </c>
      <c r="K61" s="822" t="s">
        <v>32</v>
      </c>
      <c r="L61" s="822"/>
      <c r="M61" s="498">
        <v>0.8</v>
      </c>
      <c r="O61" s="501"/>
      <c r="P61" s="502"/>
      <c r="R61" s="449"/>
    </row>
    <row r="62" spans="2:18" ht="5" customHeight="1">
      <c r="B62" s="598"/>
      <c r="C62" s="598"/>
      <c r="D62" s="598"/>
      <c r="E62" s="598"/>
      <c r="R62" s="449"/>
    </row>
    <row r="63" spans="2:18" ht="18.5">
      <c r="B63" s="862" t="s">
        <v>664</v>
      </c>
      <c r="C63" s="862"/>
      <c r="D63" s="862"/>
      <c r="E63" s="862"/>
      <c r="G63" s="861" t="s">
        <v>165</v>
      </c>
      <c r="H63" s="861"/>
      <c r="I63" s="861"/>
      <c r="J63" s="861"/>
      <c r="K63" s="861"/>
      <c r="L63" s="861"/>
      <c r="M63" s="861"/>
      <c r="N63" s="504"/>
    </row>
    <row r="64" spans="2:18" ht="18.5">
      <c r="B64" s="862"/>
      <c r="C64" s="862"/>
      <c r="D64" s="862"/>
      <c r="E64" s="862"/>
      <c r="G64" s="861"/>
      <c r="H64" s="861"/>
      <c r="I64" s="861"/>
      <c r="J64" s="861"/>
      <c r="K64" s="861"/>
      <c r="L64" s="861"/>
      <c r="M64" s="861"/>
      <c r="N64" s="504"/>
    </row>
    <row r="65" spans="2:14" ht="18.5">
      <c r="B65" s="820" t="s">
        <v>353</v>
      </c>
      <c r="C65" s="816"/>
      <c r="D65" s="816"/>
      <c r="E65" s="816"/>
      <c r="G65" s="861"/>
      <c r="H65" s="861"/>
      <c r="I65" s="861"/>
      <c r="J65" s="861"/>
      <c r="K65" s="861"/>
      <c r="L65" s="861"/>
      <c r="M65" s="861"/>
      <c r="N65" s="504"/>
    </row>
    <row r="66" spans="2:14" ht="18.5">
      <c r="B66" s="599" t="s">
        <v>357</v>
      </c>
      <c r="C66" s="598"/>
      <c r="D66" s="598"/>
      <c r="E66" s="598"/>
    </row>
    <row r="68" spans="2:14" ht="23.5">
      <c r="B68" s="507" t="s">
        <v>106</v>
      </c>
      <c r="C68" s="508"/>
      <c r="D68" s="508"/>
      <c r="E68" s="508"/>
    </row>
    <row r="69" spans="2:14">
      <c r="B69" s="615"/>
    </row>
    <row r="70" spans="2:14" ht="18.5">
      <c r="B70" s="460" t="s">
        <v>665</v>
      </c>
    </row>
    <row r="72" spans="2:14">
      <c r="B72" s="503" t="s">
        <v>107</v>
      </c>
      <c r="D72" s="503" t="s">
        <v>662</v>
      </c>
      <c r="E72" s="503" t="s">
        <v>83</v>
      </c>
    </row>
    <row r="73" spans="2:14">
      <c r="B73" s="616" t="s">
        <v>108</v>
      </c>
      <c r="C73" s="528"/>
      <c r="D73" s="617" t="s">
        <v>109</v>
      </c>
      <c r="E73" s="536">
        <v>75</v>
      </c>
    </row>
    <row r="74" spans="2:14">
      <c r="B74" s="618"/>
      <c r="C74" s="548"/>
      <c r="D74" s="619" t="s">
        <v>110</v>
      </c>
      <c r="E74" s="462">
        <v>50</v>
      </c>
    </row>
    <row r="75" spans="2:14">
      <c r="B75" s="618"/>
      <c r="C75" s="548"/>
      <c r="D75" s="620" t="s">
        <v>111</v>
      </c>
      <c r="E75" s="536">
        <v>50</v>
      </c>
    </row>
    <row r="76" spans="2:14">
      <c r="B76" s="618"/>
      <c r="C76" s="548"/>
      <c r="D76" s="619" t="s">
        <v>112</v>
      </c>
      <c r="E76" s="462">
        <v>25</v>
      </c>
    </row>
    <row r="77" spans="2:14">
      <c r="B77" s="621"/>
      <c r="C77" s="538"/>
      <c r="D77" s="622" t="s">
        <v>113</v>
      </c>
      <c r="E77" s="462">
        <v>65</v>
      </c>
    </row>
    <row r="78" spans="2:14">
      <c r="B78" s="623" t="s">
        <v>230</v>
      </c>
      <c r="C78" s="528"/>
      <c r="D78" s="617" t="s">
        <v>114</v>
      </c>
      <c r="E78" s="536">
        <v>90</v>
      </c>
    </row>
    <row r="79" spans="2:14">
      <c r="B79" s="618"/>
      <c r="C79" s="548"/>
      <c r="D79" s="619" t="s">
        <v>115</v>
      </c>
      <c r="E79" s="462">
        <v>50</v>
      </c>
    </row>
    <row r="80" spans="2:14">
      <c r="B80" s="618"/>
      <c r="C80" s="548"/>
      <c r="D80" s="620" t="s">
        <v>116</v>
      </c>
      <c r="E80" s="536">
        <v>75</v>
      </c>
    </row>
    <row r="81" spans="2:5">
      <c r="B81" s="618"/>
      <c r="C81" s="548"/>
      <c r="D81" s="619" t="s">
        <v>117</v>
      </c>
      <c r="E81" s="462">
        <v>55</v>
      </c>
    </row>
    <row r="82" spans="2:5">
      <c r="B82" s="618"/>
      <c r="C82" s="548"/>
      <c r="D82" s="620" t="s">
        <v>118</v>
      </c>
      <c r="E82" s="536">
        <v>50</v>
      </c>
    </row>
    <row r="83" spans="2:5">
      <c r="B83" s="621"/>
      <c r="C83" s="538"/>
      <c r="D83" s="622" t="s">
        <v>119</v>
      </c>
      <c r="E83" s="462">
        <v>25</v>
      </c>
    </row>
    <row r="84" spans="2:5">
      <c r="B84" s="616" t="s">
        <v>120</v>
      </c>
      <c r="C84" s="528"/>
      <c r="D84" s="617" t="s">
        <v>121</v>
      </c>
      <c r="E84" s="536">
        <v>130</v>
      </c>
    </row>
    <row r="85" spans="2:5">
      <c r="B85" s="618"/>
      <c r="C85" s="548"/>
      <c r="D85" s="620" t="s">
        <v>122</v>
      </c>
      <c r="E85" s="536">
        <v>15</v>
      </c>
    </row>
    <row r="86" spans="2:5">
      <c r="B86" s="618"/>
      <c r="C86" s="548"/>
      <c r="D86" s="619" t="s">
        <v>123</v>
      </c>
      <c r="E86" s="462">
        <v>75</v>
      </c>
    </row>
    <row r="87" spans="2:5">
      <c r="B87" s="621"/>
      <c r="C87" s="538"/>
      <c r="D87" s="622" t="s">
        <v>124</v>
      </c>
      <c r="E87" s="462">
        <v>8</v>
      </c>
    </row>
    <row r="88" spans="2:5">
      <c r="B88" s="616" t="s">
        <v>125</v>
      </c>
      <c r="C88" s="528"/>
      <c r="D88" s="617" t="s">
        <v>126</v>
      </c>
      <c r="E88" s="536">
        <v>130</v>
      </c>
    </row>
    <row r="89" spans="2:5">
      <c r="B89" s="618"/>
      <c r="C89" s="548"/>
      <c r="D89" s="619" t="s">
        <v>131</v>
      </c>
      <c r="E89" s="462">
        <v>80</v>
      </c>
    </row>
    <row r="90" spans="2:5">
      <c r="B90" s="618"/>
      <c r="C90" s="548"/>
      <c r="D90" s="620" t="s">
        <v>127</v>
      </c>
      <c r="E90" s="536">
        <v>80</v>
      </c>
    </row>
    <row r="91" spans="2:5">
      <c r="B91" s="618"/>
      <c r="C91" s="548"/>
      <c r="D91" s="619" t="s">
        <v>128</v>
      </c>
      <c r="E91" s="462">
        <v>30</v>
      </c>
    </row>
    <row r="92" spans="2:5">
      <c r="B92" s="618"/>
      <c r="C92" s="548"/>
      <c r="D92" s="624" t="s">
        <v>220</v>
      </c>
      <c r="E92" s="541">
        <v>14</v>
      </c>
    </row>
    <row r="93" spans="2:5">
      <c r="B93" s="618"/>
      <c r="C93" s="548"/>
      <c r="D93" s="619" t="s">
        <v>129</v>
      </c>
      <c r="E93" s="462">
        <v>25</v>
      </c>
    </row>
    <row r="94" spans="2:5">
      <c r="B94" s="621"/>
      <c r="C94" s="538"/>
      <c r="D94" s="622" t="s">
        <v>130</v>
      </c>
      <c r="E94" s="462">
        <v>10</v>
      </c>
    </row>
    <row r="95" spans="2:5">
      <c r="B95" s="623" t="s">
        <v>226</v>
      </c>
      <c r="C95" s="528"/>
      <c r="D95" s="625" t="s">
        <v>222</v>
      </c>
      <c r="E95" s="541">
        <v>30</v>
      </c>
    </row>
    <row r="96" spans="2:5">
      <c r="B96" s="618"/>
      <c r="C96" s="548"/>
      <c r="D96" s="624" t="s">
        <v>223</v>
      </c>
      <c r="E96" s="626">
        <v>20</v>
      </c>
    </row>
    <row r="97" spans="2:5">
      <c r="B97" s="618"/>
      <c r="C97" s="548"/>
      <c r="D97" s="627" t="s">
        <v>229</v>
      </c>
      <c r="E97" s="628">
        <v>12</v>
      </c>
    </row>
    <row r="98" spans="2:5">
      <c r="B98" s="618"/>
      <c r="C98" s="548"/>
      <c r="D98" s="624" t="s">
        <v>227</v>
      </c>
      <c r="E98" s="541">
        <v>48</v>
      </c>
    </row>
    <row r="99" spans="2:5">
      <c r="B99" s="618"/>
      <c r="C99" s="548"/>
      <c r="D99" s="629" t="s">
        <v>228</v>
      </c>
      <c r="E99" s="626">
        <v>20</v>
      </c>
    </row>
    <row r="100" spans="2:5">
      <c r="B100" s="618"/>
      <c r="C100" s="548"/>
      <c r="D100" s="627" t="s">
        <v>238</v>
      </c>
      <c r="E100" s="462">
        <v>15</v>
      </c>
    </row>
    <row r="101" spans="2:5">
      <c r="B101" s="618"/>
      <c r="C101" s="548"/>
      <c r="D101" s="627" t="s">
        <v>237</v>
      </c>
      <c r="E101" s="462">
        <v>3</v>
      </c>
    </row>
    <row r="102" spans="2:5">
      <c r="B102" s="621"/>
      <c r="C102" s="538"/>
      <c r="D102" s="630" t="s">
        <v>239</v>
      </c>
      <c r="E102" s="541">
        <v>50</v>
      </c>
    </row>
    <row r="103" spans="2:5">
      <c r="B103" s="631" t="s">
        <v>232</v>
      </c>
      <c r="C103" s="548"/>
      <c r="D103" s="632" t="s">
        <v>234</v>
      </c>
      <c r="E103" s="633">
        <v>65</v>
      </c>
    </row>
    <row r="104" spans="2:5">
      <c r="B104" s="634"/>
      <c r="C104" s="548"/>
      <c r="D104" s="624" t="s">
        <v>233</v>
      </c>
      <c r="E104" s="541">
        <v>50</v>
      </c>
    </row>
    <row r="105" spans="2:5">
      <c r="B105" s="635"/>
      <c r="C105" s="548"/>
      <c r="D105" s="627" t="s">
        <v>235</v>
      </c>
      <c r="E105" s="462">
        <v>40</v>
      </c>
    </row>
    <row r="106" spans="2:5">
      <c r="B106" s="635"/>
      <c r="C106" s="548"/>
      <c r="D106" s="624" t="s">
        <v>236</v>
      </c>
      <c r="E106" s="541">
        <v>20</v>
      </c>
    </row>
    <row r="107" spans="2:5">
      <c r="B107" s="635"/>
      <c r="C107" s="548"/>
      <c r="D107" s="627" t="s">
        <v>240</v>
      </c>
      <c r="E107" s="462">
        <v>50</v>
      </c>
    </row>
    <row r="108" spans="2:5">
      <c r="B108" s="636"/>
      <c r="C108" s="548"/>
      <c r="D108" s="637" t="s">
        <v>241</v>
      </c>
      <c r="E108" s="462">
        <v>30</v>
      </c>
    </row>
    <row r="109" spans="2:5">
      <c r="B109" s="631" t="s">
        <v>221</v>
      </c>
      <c r="C109" s="548"/>
      <c r="D109" s="638" t="s">
        <v>224</v>
      </c>
      <c r="E109" s="626">
        <v>90</v>
      </c>
    </row>
    <row r="110" spans="2:5">
      <c r="B110" s="635"/>
      <c r="C110" s="548"/>
      <c r="D110" s="639" t="s">
        <v>225</v>
      </c>
      <c r="E110" s="628">
        <v>65</v>
      </c>
    </row>
    <row r="111" spans="2:5">
      <c r="B111" s="636"/>
      <c r="C111" s="548"/>
      <c r="D111" s="638" t="s">
        <v>231</v>
      </c>
      <c r="E111" s="626">
        <v>130</v>
      </c>
    </row>
    <row r="112" spans="2:5">
      <c r="B112" s="616" t="s">
        <v>132</v>
      </c>
      <c r="C112" s="528"/>
      <c r="D112" s="526" t="s">
        <v>133</v>
      </c>
      <c r="E112" s="462">
        <v>15</v>
      </c>
    </row>
    <row r="113" spans="2:5">
      <c r="B113" s="547"/>
      <c r="C113" s="548"/>
      <c r="D113" s="547" t="s">
        <v>134</v>
      </c>
      <c r="E113" s="462">
        <v>3</v>
      </c>
    </row>
    <row r="114" spans="2:5">
      <c r="B114" s="547"/>
      <c r="C114" s="548"/>
      <c r="D114" s="640" t="s">
        <v>136</v>
      </c>
      <c r="E114" s="541">
        <v>12</v>
      </c>
    </row>
    <row r="115" spans="2:5">
      <c r="B115" s="529"/>
      <c r="C115" s="538"/>
      <c r="D115" s="549" t="s">
        <v>135</v>
      </c>
      <c r="E115" s="541">
        <v>5</v>
      </c>
    </row>
    <row r="118" spans="2:5">
      <c r="B118" s="446" t="s">
        <v>666</v>
      </c>
    </row>
  </sheetData>
  <sheetProtection algorithmName="SHA-512" hashValue="qSaqFWAQ5kuErYOMNGfYes2NiLhIldCfgvYNa2z9OuFKELRJSGz8k/ZgwzMWce+uVJP49EB2LcQhKpabcEN9kQ==" saltValue="8UNy+AeT75b76QFtWm+k7w==" spinCount="100000" sheet="1" objects="1" scenarios="1" insertColumns="0" insertRows="0" deleteColumns="0" deleteRows="0"/>
  <mergeCells count="26">
    <mergeCell ref="O2:P2"/>
    <mergeCell ref="B59:E61"/>
    <mergeCell ref="K59:L59"/>
    <mergeCell ref="K60:L60"/>
    <mergeCell ref="K61:L61"/>
    <mergeCell ref="J14:L14"/>
    <mergeCell ref="J15:L15"/>
    <mergeCell ref="O15:P15"/>
    <mergeCell ref="K57:L57"/>
    <mergeCell ref="O12:P12"/>
    <mergeCell ref="J12:L12"/>
    <mergeCell ref="O13:P13"/>
    <mergeCell ref="G4:H6"/>
    <mergeCell ref="K4:M6"/>
    <mergeCell ref="O14:P14"/>
    <mergeCell ref="B9:E9"/>
    <mergeCell ref="G9:H9"/>
    <mergeCell ref="O9:P9"/>
    <mergeCell ref="J11:L11"/>
    <mergeCell ref="O11:P11"/>
    <mergeCell ref="K9:M9"/>
    <mergeCell ref="B65:E65"/>
    <mergeCell ref="G63:M63"/>
    <mergeCell ref="G64:M64"/>
    <mergeCell ref="G65:M65"/>
    <mergeCell ref="B63:E64"/>
  </mergeCells>
  <conditionalFormatting sqref="H19:H55">
    <cfRule type="expression" dxfId="47" priority="28">
      <formula>H19=3</formula>
    </cfRule>
    <cfRule type="expression" dxfId="46" priority="26">
      <formula>H19=5</formula>
    </cfRule>
    <cfRule type="expression" dxfId="45" priority="27">
      <formula>H19=4</formula>
    </cfRule>
    <cfRule type="cellIs" dxfId="44" priority="21" operator="equal">
      <formula>5</formula>
    </cfRule>
    <cfRule type="cellIs" dxfId="43" priority="22" operator="equal">
      <formula>4</formula>
    </cfRule>
    <cfRule type="cellIs" dxfId="42" priority="23" operator="equal">
      <formula>3</formula>
    </cfRule>
    <cfRule type="cellIs" dxfId="41" priority="24" operator="equal">
      <formula>2</formula>
    </cfRule>
    <cfRule type="cellIs" dxfId="40" priority="25" operator="equal">
      <formula>1</formula>
    </cfRule>
    <cfRule type="expression" dxfId="39" priority="29">
      <formula>H19=2</formula>
    </cfRule>
    <cfRule type="expression" dxfId="38" priority="30">
      <formula>H19=1</formula>
    </cfRule>
  </conditionalFormatting>
  <conditionalFormatting sqref="M19:M55">
    <cfRule type="cellIs" dxfId="37" priority="4" operator="equal">
      <formula>2</formula>
    </cfRule>
    <cfRule type="cellIs" dxfId="36" priority="5" operator="equal">
      <formula>1</formula>
    </cfRule>
    <cfRule type="expression" dxfId="35" priority="6">
      <formula>M19=5</formula>
    </cfRule>
    <cfRule type="expression" dxfId="34" priority="7">
      <formula>M19=4</formula>
    </cfRule>
    <cfRule type="expression" dxfId="33" priority="8">
      <formula>M19=3</formula>
    </cfRule>
    <cfRule type="expression" dxfId="32" priority="9">
      <formula>M19=2</formula>
    </cfRule>
    <cfRule type="expression" dxfId="31" priority="10">
      <formula>M19=1</formula>
    </cfRule>
    <cfRule type="cellIs" dxfId="30" priority="1" operator="equal">
      <formula>5</formula>
    </cfRule>
    <cfRule type="cellIs" dxfId="29" priority="2" operator="equal">
      <formula>4</formula>
    </cfRule>
    <cfRule type="cellIs" dxfId="28" priority="3" operator="equal">
      <formula>3</formula>
    </cfRule>
  </conditionalFormatting>
  <conditionalFormatting sqref="O19:O55">
    <cfRule type="cellIs" dxfId="27" priority="1381" operator="between">
      <formula>20</formula>
      <formula>25</formula>
    </cfRule>
    <cfRule type="cellIs" dxfId="26" priority="1382" operator="between">
      <formula>15</formula>
      <formula>16</formula>
    </cfRule>
    <cfRule type="cellIs" dxfId="25" priority="1383" operator="between">
      <formula>10</formula>
      <formula>12</formula>
    </cfRule>
    <cfRule type="cellIs" dxfId="24" priority="1384" operator="between">
      <formula>5</formula>
      <formula>9</formula>
    </cfRule>
    <cfRule type="cellIs" dxfId="23" priority="1385" operator="between">
      <formula>1</formula>
      <formula>4</formula>
    </cfRule>
    <cfRule type="cellIs" dxfId="22" priority="1386" operator="equal">
      <formula>4</formula>
    </cfRule>
    <cfRule type="cellIs" dxfId="21" priority="1387" operator="equal">
      <formula>3</formula>
    </cfRule>
    <cfRule type="cellIs" dxfId="20" priority="1388" operator="equal">
      <formula>2</formula>
    </cfRule>
    <cfRule type="cellIs" dxfId="19" priority="1389" operator="equal">
      <formula>5</formula>
    </cfRule>
    <cfRule type="cellIs" dxfId="18" priority="1390" operator="equal">
      <formula>1</formula>
    </cfRule>
  </conditionalFormatting>
  <conditionalFormatting sqref="O19:P55">
    <cfRule type="expression" dxfId="17" priority="1401">
      <formula>AND(O19&gt;=20,O19&lt;26)</formula>
    </cfRule>
    <cfRule type="expression" dxfId="16" priority="1402">
      <formula>AND(O19&gt;=15,O19&lt;20)</formula>
    </cfRule>
    <cfRule type="expression" dxfId="15" priority="1403">
      <formula>AND(O19&gt;=10,O19&lt;15)</formula>
    </cfRule>
    <cfRule type="expression" dxfId="14" priority="1404">
      <formula>AND(O19&gt;=5,O19&lt;10)</formula>
    </cfRule>
    <cfRule type="expression" dxfId="13" priority="1405">
      <formula>AND(O19&gt;=1, O19&lt;5)</formula>
    </cfRule>
  </conditionalFormatting>
  <pageMargins left="0.7" right="0.7" top="0.75" bottom="0.75" header="0.3" footer="0.3"/>
  <pageSetup paperSize="9" scale="45"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9A92B-4F14-5C43-BD1A-2FB10DBC3F1F}">
  <dimension ref="B1:I85"/>
  <sheetViews>
    <sheetView showGridLines="0" topLeftCell="A64" zoomScale="118" zoomScaleNormal="118" workbookViewId="0">
      <selection activeCell="B78" sqref="B78"/>
    </sheetView>
  </sheetViews>
  <sheetFormatPr defaultColWidth="8.81640625" defaultRowHeight="14.5"/>
  <cols>
    <col min="1" max="1" width="8.81640625" style="726"/>
    <col min="2" max="2" width="35.81640625" style="726" customWidth="1"/>
    <col min="3" max="3" width="8.81640625" style="726" customWidth="1"/>
    <col min="4" max="4" width="2.81640625" style="726" customWidth="1"/>
    <col min="5" max="5" width="35.81640625" style="726" customWidth="1"/>
    <col min="6" max="6" width="8.81640625" style="725" customWidth="1"/>
    <col min="7" max="7" width="2.81640625" style="725" customWidth="1"/>
    <col min="8" max="8" width="35.81640625" style="725" customWidth="1"/>
    <col min="9" max="16384" width="8.81640625" style="726"/>
  </cols>
  <sheetData>
    <row r="1" spans="2:9">
      <c r="B1" s="725"/>
      <c r="C1" s="725"/>
      <c r="D1" s="725"/>
      <c r="E1" s="725"/>
      <c r="F1" s="726"/>
      <c r="G1" s="726"/>
      <c r="H1" s="726"/>
    </row>
    <row r="2" spans="2:9" ht="18.5">
      <c r="B2" s="760"/>
      <c r="C2" s="764"/>
      <c r="D2" s="762"/>
      <c r="E2" s="762"/>
      <c r="F2" s="886" t="s">
        <v>742</v>
      </c>
      <c r="G2" s="886"/>
      <c r="H2" s="765">
        <f>Technical_lead</f>
        <v>0</v>
      </c>
      <c r="I2" s="761"/>
    </row>
    <row r="3" spans="2:9">
      <c r="B3" s="760"/>
      <c r="C3" s="761"/>
      <c r="D3" s="762"/>
      <c r="E3" s="762"/>
      <c r="F3" s="763" t="s">
        <v>740</v>
      </c>
      <c r="G3" s="763"/>
      <c r="H3" s="765">
        <f>Lighting_lead</f>
        <v>0</v>
      </c>
      <c r="I3" s="761"/>
    </row>
    <row r="4" spans="2:9" ht="18.5">
      <c r="B4" s="760"/>
      <c r="C4" s="764"/>
      <c r="D4" s="762"/>
      <c r="E4" s="762"/>
      <c r="F4" s="763" t="s">
        <v>741</v>
      </c>
      <c r="G4" s="763"/>
      <c r="H4" s="765">
        <f>Sound_lead</f>
        <v>0</v>
      </c>
      <c r="I4" s="761"/>
    </row>
    <row r="5" spans="2:9" ht="46">
      <c r="B5" s="755" t="s">
        <v>677</v>
      </c>
      <c r="C5" s="727"/>
      <c r="D5" s="727"/>
      <c r="E5" s="727"/>
    </row>
    <row r="6" spans="2:9" ht="16" customHeight="1">
      <c r="B6" s="728"/>
      <c r="C6" s="728"/>
      <c r="D6" s="728"/>
      <c r="E6" s="728"/>
      <c r="F6" s="728"/>
      <c r="G6" s="728"/>
      <c r="H6" s="728"/>
      <c r="I6" s="728"/>
    </row>
    <row r="7" spans="2:9" ht="31">
      <c r="B7" s="867" t="s">
        <v>669</v>
      </c>
      <c r="C7" s="867"/>
      <c r="D7" s="729"/>
      <c r="E7" s="868" t="s">
        <v>670</v>
      </c>
      <c r="F7" s="868"/>
      <c r="G7" s="730"/>
      <c r="H7" s="869" t="s">
        <v>671</v>
      </c>
      <c r="I7" s="869"/>
    </row>
    <row r="8" spans="2:9" ht="15.5">
      <c r="B8" s="728"/>
      <c r="C8" s="731" t="s">
        <v>672</v>
      </c>
      <c r="D8" s="728"/>
      <c r="E8" s="728"/>
      <c r="F8" s="728"/>
      <c r="G8" s="728"/>
      <c r="H8" s="728"/>
      <c r="I8" s="728"/>
    </row>
    <row r="9" spans="2:9" ht="15.5">
      <c r="B9" s="728"/>
      <c r="C9" s="728"/>
      <c r="D9" s="728"/>
      <c r="E9" s="728"/>
      <c r="F9" s="728"/>
      <c r="G9" s="728"/>
      <c r="H9" s="728"/>
      <c r="I9" s="728"/>
    </row>
    <row r="10" spans="2:9" ht="31">
      <c r="B10" s="732" t="s">
        <v>681</v>
      </c>
      <c r="C10" s="733"/>
      <c r="D10" s="729"/>
      <c r="E10" s="734"/>
      <c r="F10" s="728"/>
      <c r="G10" s="730"/>
      <c r="H10" s="730"/>
      <c r="I10" s="728"/>
    </row>
    <row r="11" spans="2:9" ht="62">
      <c r="B11" s="734" t="s">
        <v>692</v>
      </c>
      <c r="C11" s="733"/>
      <c r="D11" s="729"/>
      <c r="E11" s="734" t="s">
        <v>678</v>
      </c>
      <c r="F11" s="735"/>
      <c r="G11" s="730"/>
      <c r="H11" s="732" t="s">
        <v>679</v>
      </c>
      <c r="I11" s="736"/>
    </row>
    <row r="12" spans="2:9" ht="10" customHeight="1" thickBot="1">
      <c r="B12" s="728"/>
      <c r="C12" s="728"/>
      <c r="D12" s="728"/>
      <c r="E12" s="728"/>
      <c r="F12" s="728"/>
      <c r="G12" s="728"/>
      <c r="H12" s="728"/>
      <c r="I12" s="728"/>
    </row>
    <row r="13" spans="2:9" ht="35" customHeight="1" thickBot="1">
      <c r="B13" s="737" t="s">
        <v>413</v>
      </c>
      <c r="C13" s="738" t="s">
        <v>497</v>
      </c>
      <c r="D13" s="729"/>
      <c r="E13" s="737" t="s">
        <v>413</v>
      </c>
      <c r="F13" s="739" t="s">
        <v>497</v>
      </c>
      <c r="G13" s="730"/>
      <c r="H13" s="737" t="s">
        <v>413</v>
      </c>
      <c r="I13" s="740" t="s">
        <v>497</v>
      </c>
    </row>
    <row r="14" spans="2:9" ht="10" customHeight="1">
      <c r="B14" s="728"/>
      <c r="C14" s="728"/>
      <c r="D14" s="728"/>
      <c r="E14" s="728"/>
      <c r="F14" s="728"/>
      <c r="G14" s="728"/>
      <c r="H14" s="728"/>
      <c r="I14" s="728"/>
    </row>
    <row r="15" spans="2:9" ht="35" customHeight="1">
      <c r="B15" s="741" t="s">
        <v>680</v>
      </c>
      <c r="C15" s="742"/>
      <c r="D15" s="742"/>
      <c r="E15" s="742"/>
      <c r="F15" s="743"/>
      <c r="G15" s="743"/>
      <c r="H15" s="743"/>
      <c r="I15" s="744"/>
    </row>
    <row r="16" spans="2:9" ht="15.5">
      <c r="B16" s="728"/>
      <c r="C16" s="728"/>
      <c r="D16" s="728"/>
      <c r="E16" s="728"/>
      <c r="F16" s="728"/>
      <c r="G16" s="728"/>
      <c r="H16" s="728"/>
      <c r="I16" s="728"/>
    </row>
    <row r="17" spans="2:9" ht="22" customHeight="1">
      <c r="B17" s="745" t="s">
        <v>673</v>
      </c>
      <c r="C17" s="745"/>
      <c r="D17" s="745"/>
      <c r="E17" s="745"/>
    </row>
    <row r="18" spans="2:9" s="747" customFormat="1" ht="16" customHeight="1">
      <c r="B18" s="870" t="s">
        <v>674</v>
      </c>
      <c r="C18" s="871"/>
      <c r="D18" s="871"/>
      <c r="E18" s="872"/>
      <c r="F18" s="870" t="s">
        <v>675</v>
      </c>
      <c r="G18" s="871"/>
      <c r="H18" s="872"/>
      <c r="I18" s="746" t="s">
        <v>676</v>
      </c>
    </row>
    <row r="19" spans="2:9" ht="47" customHeight="1">
      <c r="B19" s="876" t="s">
        <v>735</v>
      </c>
      <c r="C19" s="877"/>
      <c r="D19" s="877"/>
      <c r="E19" s="878"/>
      <c r="F19" s="873"/>
      <c r="G19" s="874"/>
      <c r="H19" s="875"/>
      <c r="I19" s="751"/>
    </row>
    <row r="20" spans="2:9" ht="40" customHeight="1">
      <c r="B20" s="876" t="s">
        <v>736</v>
      </c>
      <c r="C20" s="877"/>
      <c r="D20" s="877"/>
      <c r="E20" s="878"/>
      <c r="F20" s="873"/>
      <c r="G20" s="874"/>
      <c r="H20" s="875"/>
      <c r="I20" s="751"/>
    </row>
    <row r="21" spans="2:9" ht="40" customHeight="1">
      <c r="B21" s="876" t="s">
        <v>737</v>
      </c>
      <c r="C21" s="877"/>
      <c r="D21" s="877"/>
      <c r="E21" s="878"/>
      <c r="F21" s="873"/>
      <c r="G21" s="874"/>
      <c r="H21" s="875"/>
      <c r="I21" s="751"/>
    </row>
    <row r="22" spans="2:9" ht="40" customHeight="1">
      <c r="B22" s="876" t="s">
        <v>727</v>
      </c>
      <c r="C22" s="877"/>
      <c r="D22" s="877"/>
      <c r="E22" s="878"/>
      <c r="F22" s="873"/>
      <c r="G22" s="874"/>
      <c r="H22" s="875"/>
      <c r="I22" s="751"/>
    </row>
    <row r="23" spans="2:9" ht="35" customHeight="1">
      <c r="B23" s="876" t="s">
        <v>733</v>
      </c>
      <c r="C23" s="877"/>
      <c r="D23" s="877"/>
      <c r="E23" s="878"/>
      <c r="F23" s="873"/>
      <c r="G23" s="874"/>
      <c r="H23" s="875"/>
      <c r="I23" s="751"/>
    </row>
    <row r="24" spans="2:9" ht="35" customHeight="1">
      <c r="B24" s="876" t="s">
        <v>683</v>
      </c>
      <c r="C24" s="877"/>
      <c r="D24" s="877"/>
      <c r="E24" s="878"/>
      <c r="F24" s="748"/>
      <c r="G24" s="749"/>
      <c r="H24" s="750"/>
      <c r="I24" s="751"/>
    </row>
    <row r="25" spans="2:9" ht="34" customHeight="1">
      <c r="B25" s="876" t="s">
        <v>730</v>
      </c>
      <c r="C25" s="877"/>
      <c r="D25" s="877"/>
      <c r="E25" s="878"/>
      <c r="F25" s="873"/>
      <c r="G25" s="874"/>
      <c r="H25" s="875"/>
      <c r="I25" s="751"/>
    </row>
    <row r="26" spans="2:9" ht="40" customHeight="1">
      <c r="B26" s="876" t="s">
        <v>726</v>
      </c>
      <c r="C26" s="877"/>
      <c r="D26" s="877"/>
      <c r="E26" s="878"/>
      <c r="F26" s="873"/>
      <c r="G26" s="874"/>
      <c r="H26" s="875"/>
      <c r="I26" s="751"/>
    </row>
    <row r="27" spans="2:9" ht="43" customHeight="1">
      <c r="B27" s="876" t="s">
        <v>682</v>
      </c>
      <c r="C27" s="877"/>
      <c r="D27" s="877"/>
      <c r="E27" s="878"/>
      <c r="F27" s="748"/>
      <c r="G27" s="749"/>
      <c r="H27" s="750"/>
      <c r="I27" s="751"/>
    </row>
    <row r="28" spans="2:9" ht="35" customHeight="1">
      <c r="B28" s="876" t="s">
        <v>684</v>
      </c>
      <c r="C28" s="877"/>
      <c r="D28" s="877"/>
      <c r="E28" s="878"/>
      <c r="F28" s="748"/>
      <c r="G28" s="749"/>
      <c r="H28" s="750"/>
      <c r="I28" s="751"/>
    </row>
    <row r="29" spans="2:9" ht="35" customHeight="1">
      <c r="B29" s="876" t="s">
        <v>685</v>
      </c>
      <c r="C29" s="877"/>
      <c r="D29" s="877"/>
      <c r="E29" s="878"/>
      <c r="F29" s="748"/>
      <c r="G29" s="749"/>
      <c r="H29" s="750"/>
      <c r="I29" s="751"/>
    </row>
    <row r="30" spans="2:9" ht="35" customHeight="1">
      <c r="B30" s="876" t="s">
        <v>686</v>
      </c>
      <c r="C30" s="877"/>
      <c r="D30" s="877"/>
      <c r="E30" s="878"/>
      <c r="F30" s="873"/>
      <c r="G30" s="874"/>
      <c r="H30" s="875"/>
      <c r="I30" s="751"/>
    </row>
    <row r="31" spans="2:9" ht="35" customHeight="1">
      <c r="B31" s="876" t="s">
        <v>734</v>
      </c>
      <c r="C31" s="877"/>
      <c r="D31" s="877"/>
      <c r="E31" s="878"/>
      <c r="F31" s="873"/>
      <c r="G31" s="874"/>
      <c r="H31" s="875"/>
      <c r="I31" s="751"/>
    </row>
    <row r="32" spans="2:9" ht="15.5">
      <c r="B32" s="753"/>
      <c r="C32" s="753"/>
      <c r="D32" s="753"/>
      <c r="E32" s="753"/>
      <c r="F32" s="752"/>
      <c r="G32" s="752"/>
      <c r="H32" s="752"/>
      <c r="I32" s="754"/>
    </row>
    <row r="33" spans="2:9" ht="22" customHeight="1">
      <c r="B33" s="879" t="s">
        <v>687</v>
      </c>
      <c r="C33" s="879"/>
      <c r="D33" s="879"/>
      <c r="E33" s="879"/>
    </row>
    <row r="34" spans="2:9" s="747" customFormat="1" ht="16" customHeight="1">
      <c r="B34" s="870" t="s">
        <v>674</v>
      </c>
      <c r="C34" s="871"/>
      <c r="D34" s="871"/>
      <c r="E34" s="872"/>
      <c r="F34" s="870" t="s">
        <v>675</v>
      </c>
      <c r="G34" s="871"/>
      <c r="H34" s="872"/>
      <c r="I34" s="746" t="s">
        <v>676</v>
      </c>
    </row>
    <row r="35" spans="2:9" ht="32" customHeight="1">
      <c r="B35" s="876" t="s">
        <v>738</v>
      </c>
      <c r="C35" s="877"/>
      <c r="D35" s="877"/>
      <c r="E35" s="878"/>
      <c r="F35" s="873"/>
      <c r="G35" s="874"/>
      <c r="H35" s="875"/>
      <c r="I35" s="751"/>
    </row>
    <row r="36" spans="2:9" ht="32" customHeight="1">
      <c r="B36" s="876" t="s">
        <v>688</v>
      </c>
      <c r="C36" s="877"/>
      <c r="D36" s="877"/>
      <c r="E36" s="878"/>
      <c r="F36" s="873"/>
      <c r="G36" s="874"/>
      <c r="H36" s="875"/>
      <c r="I36" s="751"/>
    </row>
    <row r="37" spans="2:9" ht="35" customHeight="1">
      <c r="B37" s="876" t="s">
        <v>689</v>
      </c>
      <c r="C37" s="877"/>
      <c r="D37" s="877"/>
      <c r="E37" s="878"/>
      <c r="F37" s="873"/>
      <c r="G37" s="874"/>
      <c r="H37" s="875"/>
      <c r="I37" s="751"/>
    </row>
    <row r="38" spans="2:9" ht="27" customHeight="1">
      <c r="B38" s="876" t="s">
        <v>690</v>
      </c>
      <c r="C38" s="877"/>
      <c r="D38" s="877"/>
      <c r="E38" s="878"/>
      <c r="F38" s="748"/>
      <c r="G38" s="749"/>
      <c r="H38" s="750"/>
      <c r="I38" s="751"/>
    </row>
    <row r="39" spans="2:9" ht="44" customHeight="1">
      <c r="B39" s="876" t="s">
        <v>691</v>
      </c>
      <c r="C39" s="877"/>
      <c r="D39" s="877"/>
      <c r="E39" s="878"/>
      <c r="F39" s="873"/>
      <c r="G39" s="874"/>
      <c r="H39" s="875"/>
      <c r="I39" s="751"/>
    </row>
    <row r="40" spans="2:9">
      <c r="B40" s="753"/>
      <c r="C40" s="753"/>
      <c r="D40" s="753"/>
      <c r="E40" s="753"/>
      <c r="F40" s="752"/>
      <c r="G40" s="752"/>
      <c r="H40" s="752"/>
    </row>
    <row r="41" spans="2:9" ht="22" customHeight="1">
      <c r="B41" s="879" t="s">
        <v>693</v>
      </c>
      <c r="C41" s="879"/>
      <c r="D41" s="879"/>
      <c r="E41" s="879"/>
    </row>
    <row r="42" spans="2:9" s="747" customFormat="1" ht="16" customHeight="1">
      <c r="B42" s="870" t="s">
        <v>674</v>
      </c>
      <c r="C42" s="871"/>
      <c r="D42" s="871"/>
      <c r="E42" s="872"/>
      <c r="F42" s="870" t="s">
        <v>675</v>
      </c>
      <c r="G42" s="871"/>
      <c r="H42" s="872"/>
      <c r="I42" s="746" t="s">
        <v>676</v>
      </c>
    </row>
    <row r="43" spans="2:9" ht="25" customHeight="1">
      <c r="B43" s="876" t="s">
        <v>694</v>
      </c>
      <c r="C43" s="877"/>
      <c r="D43" s="877"/>
      <c r="E43" s="878"/>
      <c r="F43" s="873"/>
      <c r="G43" s="874"/>
      <c r="H43" s="875"/>
      <c r="I43" s="751"/>
    </row>
    <row r="44" spans="2:9" ht="37" customHeight="1">
      <c r="B44" s="876" t="s">
        <v>695</v>
      </c>
      <c r="C44" s="877"/>
      <c r="D44" s="877"/>
      <c r="E44" s="878"/>
      <c r="F44" s="873"/>
      <c r="G44" s="874"/>
      <c r="H44" s="875"/>
      <c r="I44" s="751"/>
    </row>
    <row r="45" spans="2:9" ht="20" customHeight="1">
      <c r="B45" s="876" t="s">
        <v>696</v>
      </c>
      <c r="C45" s="877"/>
      <c r="D45" s="877"/>
      <c r="E45" s="878"/>
      <c r="F45" s="748"/>
      <c r="G45" s="749"/>
      <c r="H45" s="750"/>
      <c r="I45" s="751"/>
    </row>
    <row r="46" spans="2:9" ht="41" customHeight="1">
      <c r="B46" s="876" t="s">
        <v>697</v>
      </c>
      <c r="C46" s="877"/>
      <c r="D46" s="877"/>
      <c r="E46" s="878"/>
      <c r="F46" s="748"/>
      <c r="G46" s="749"/>
      <c r="H46" s="750"/>
      <c r="I46" s="751"/>
    </row>
    <row r="47" spans="2:9" ht="50" customHeight="1">
      <c r="B47" s="876" t="s">
        <v>698</v>
      </c>
      <c r="C47" s="877"/>
      <c r="D47" s="877"/>
      <c r="E47" s="878"/>
      <c r="F47" s="748"/>
      <c r="G47" s="749"/>
      <c r="H47" s="750"/>
      <c r="I47" s="751"/>
    </row>
    <row r="48" spans="2:9">
      <c r="B48" s="753"/>
      <c r="C48" s="753"/>
      <c r="D48" s="753"/>
      <c r="E48" s="753"/>
      <c r="F48" s="752"/>
      <c r="G48" s="752"/>
      <c r="H48" s="752"/>
    </row>
    <row r="49" spans="2:9" ht="22" customHeight="1">
      <c r="B49" s="879" t="s">
        <v>699</v>
      </c>
      <c r="C49" s="879"/>
      <c r="D49" s="879"/>
      <c r="E49" s="879"/>
    </row>
    <row r="50" spans="2:9" s="747" customFormat="1" ht="16" customHeight="1">
      <c r="B50" s="870" t="s">
        <v>674</v>
      </c>
      <c r="C50" s="871"/>
      <c r="D50" s="871"/>
      <c r="E50" s="872"/>
      <c r="F50" s="870" t="s">
        <v>675</v>
      </c>
      <c r="G50" s="871"/>
      <c r="H50" s="872"/>
      <c r="I50" s="746" t="s">
        <v>676</v>
      </c>
    </row>
    <row r="51" spans="2:9" ht="25" customHeight="1">
      <c r="B51" s="876" t="s">
        <v>700</v>
      </c>
      <c r="C51" s="877"/>
      <c r="D51" s="877"/>
      <c r="E51" s="878"/>
      <c r="F51" s="873"/>
      <c r="G51" s="874"/>
      <c r="H51" s="875"/>
      <c r="I51" s="751"/>
    </row>
    <row r="52" spans="2:9" ht="35" customHeight="1">
      <c r="B52" s="876" t="s">
        <v>701</v>
      </c>
      <c r="C52" s="877"/>
      <c r="D52" s="877"/>
      <c r="E52" s="878"/>
      <c r="F52" s="873"/>
      <c r="G52" s="874"/>
      <c r="H52" s="875"/>
      <c r="I52" s="751"/>
    </row>
    <row r="53" spans="2:9" ht="22" customHeight="1">
      <c r="B53" s="876" t="s">
        <v>702</v>
      </c>
      <c r="C53" s="877"/>
      <c r="D53" s="877"/>
      <c r="E53" s="878"/>
      <c r="F53" s="873"/>
      <c r="G53" s="874"/>
      <c r="H53" s="875"/>
      <c r="I53" s="751"/>
    </row>
    <row r="54" spans="2:9" ht="35" customHeight="1">
      <c r="B54" s="876" t="s">
        <v>703</v>
      </c>
      <c r="C54" s="877"/>
      <c r="D54" s="877"/>
      <c r="E54" s="878"/>
      <c r="F54" s="748"/>
      <c r="G54" s="749"/>
      <c r="H54" s="750"/>
      <c r="I54" s="751"/>
    </row>
    <row r="55" spans="2:9" ht="25" customHeight="1">
      <c r="B55" s="876" t="s">
        <v>704</v>
      </c>
      <c r="C55" s="877"/>
      <c r="D55" s="877"/>
      <c r="E55" s="878"/>
      <c r="F55" s="880"/>
      <c r="G55" s="881"/>
      <c r="H55" s="882"/>
      <c r="I55" s="751"/>
    </row>
    <row r="56" spans="2:9" ht="25" customHeight="1">
      <c r="B56" s="876" t="s">
        <v>705</v>
      </c>
      <c r="C56" s="877"/>
      <c r="D56" s="877"/>
      <c r="E56" s="878"/>
      <c r="F56" s="873"/>
      <c r="G56" s="874"/>
      <c r="H56" s="875"/>
      <c r="I56" s="751"/>
    </row>
    <row r="57" spans="2:9" ht="25" customHeight="1">
      <c r="B57" s="876" t="s">
        <v>706</v>
      </c>
      <c r="C57" s="877"/>
      <c r="D57" s="877"/>
      <c r="E57" s="878"/>
      <c r="F57" s="873"/>
      <c r="G57" s="874"/>
      <c r="H57" s="875"/>
      <c r="I57" s="751"/>
    </row>
    <row r="58" spans="2:9">
      <c r="B58" s="753"/>
      <c r="C58" s="753"/>
      <c r="D58" s="753"/>
      <c r="E58" s="753"/>
      <c r="F58" s="752"/>
      <c r="G58" s="752"/>
      <c r="H58" s="752"/>
    </row>
    <row r="59" spans="2:9" ht="22" customHeight="1">
      <c r="B59" s="879" t="s">
        <v>707</v>
      </c>
      <c r="C59" s="879"/>
      <c r="D59" s="879"/>
      <c r="E59" s="879"/>
    </row>
    <row r="60" spans="2:9" s="747" customFormat="1" ht="16" customHeight="1">
      <c r="B60" s="870" t="s">
        <v>674</v>
      </c>
      <c r="C60" s="871"/>
      <c r="D60" s="871"/>
      <c r="E60" s="872"/>
      <c r="F60" s="870" t="s">
        <v>675</v>
      </c>
      <c r="G60" s="871"/>
      <c r="H60" s="872"/>
      <c r="I60" s="746" t="s">
        <v>676</v>
      </c>
    </row>
    <row r="61" spans="2:9" ht="35" customHeight="1">
      <c r="B61" s="876" t="s">
        <v>731</v>
      </c>
      <c r="C61" s="877"/>
      <c r="D61" s="877"/>
      <c r="E61" s="878"/>
      <c r="F61" s="873"/>
      <c r="G61" s="874"/>
      <c r="H61" s="875"/>
      <c r="I61" s="751"/>
    </row>
    <row r="62" spans="2:9" ht="35" customHeight="1">
      <c r="B62" s="876" t="s">
        <v>708</v>
      </c>
      <c r="C62" s="877"/>
      <c r="D62" s="877"/>
      <c r="E62" s="878"/>
      <c r="F62" s="873"/>
      <c r="G62" s="874"/>
      <c r="H62" s="875"/>
      <c r="I62" s="751"/>
    </row>
    <row r="63" spans="2:9" ht="35" customHeight="1">
      <c r="B63" s="876" t="s">
        <v>709</v>
      </c>
      <c r="C63" s="877"/>
      <c r="D63" s="877"/>
      <c r="E63" s="878"/>
      <c r="F63" s="873"/>
      <c r="G63" s="874"/>
      <c r="H63" s="875"/>
      <c r="I63" s="751"/>
    </row>
    <row r="64" spans="2:9" ht="35" customHeight="1">
      <c r="B64" s="876" t="s">
        <v>732</v>
      </c>
      <c r="C64" s="877"/>
      <c r="D64" s="877"/>
      <c r="E64" s="878"/>
      <c r="F64" s="873"/>
      <c r="G64" s="874"/>
      <c r="H64" s="875"/>
      <c r="I64" s="751"/>
    </row>
    <row r="66" spans="2:9" ht="22" customHeight="1">
      <c r="B66" s="879" t="s">
        <v>710</v>
      </c>
      <c r="C66" s="879"/>
      <c r="D66" s="879"/>
      <c r="E66" s="879"/>
    </row>
    <row r="67" spans="2:9" s="747" customFormat="1" ht="16" customHeight="1">
      <c r="B67" s="870" t="s">
        <v>674</v>
      </c>
      <c r="C67" s="871"/>
      <c r="D67" s="871"/>
      <c r="E67" s="872"/>
      <c r="F67" s="870" t="s">
        <v>675</v>
      </c>
      <c r="G67" s="871"/>
      <c r="H67" s="872"/>
      <c r="I67" s="746" t="s">
        <v>676</v>
      </c>
    </row>
    <row r="68" spans="2:9" ht="35" customHeight="1">
      <c r="B68" s="876" t="s">
        <v>711</v>
      </c>
      <c r="C68" s="877"/>
      <c r="D68" s="877"/>
      <c r="E68" s="878"/>
      <c r="F68" s="873"/>
      <c r="G68" s="874"/>
      <c r="H68" s="875"/>
      <c r="I68" s="751"/>
    </row>
    <row r="69" spans="2:9" ht="35" customHeight="1">
      <c r="B69" s="876" t="s">
        <v>712</v>
      </c>
      <c r="C69" s="877"/>
      <c r="D69" s="877"/>
      <c r="E69" s="878"/>
      <c r="F69" s="873"/>
      <c r="G69" s="874"/>
      <c r="H69" s="875"/>
      <c r="I69" s="751"/>
    </row>
    <row r="70" spans="2:9" ht="35" customHeight="1">
      <c r="B70" s="876" t="s">
        <v>713</v>
      </c>
      <c r="C70" s="877"/>
      <c r="D70" s="877"/>
      <c r="E70" s="878"/>
      <c r="F70" s="883"/>
      <c r="G70" s="884"/>
      <c r="H70" s="885"/>
      <c r="I70" s="751"/>
    </row>
    <row r="71" spans="2:9" ht="35" customHeight="1">
      <c r="B71" s="876" t="s">
        <v>714</v>
      </c>
      <c r="C71" s="877"/>
      <c r="D71" s="877"/>
      <c r="E71" s="878"/>
      <c r="F71" s="873"/>
      <c r="G71" s="874"/>
      <c r="H71" s="875"/>
      <c r="I71" s="751"/>
    </row>
    <row r="72" spans="2:9">
      <c r="B72" s="753"/>
      <c r="C72" s="753"/>
      <c r="D72" s="753"/>
      <c r="E72" s="753"/>
      <c r="F72" s="752"/>
      <c r="G72" s="752"/>
      <c r="H72" s="752"/>
    </row>
    <row r="73" spans="2:9" ht="22" customHeight="1">
      <c r="B73" s="879" t="s">
        <v>715</v>
      </c>
      <c r="C73" s="879"/>
      <c r="D73" s="879"/>
      <c r="E73" s="879"/>
    </row>
    <row r="74" spans="2:9" s="747" customFormat="1" ht="16" customHeight="1">
      <c r="B74" s="870" t="s">
        <v>674</v>
      </c>
      <c r="C74" s="871"/>
      <c r="D74" s="871"/>
      <c r="E74" s="872"/>
      <c r="F74" s="870" t="s">
        <v>675</v>
      </c>
      <c r="G74" s="871"/>
      <c r="H74" s="872"/>
      <c r="I74" s="746" t="s">
        <v>676</v>
      </c>
    </row>
    <row r="75" spans="2:9" ht="56" customHeight="1">
      <c r="B75" s="876" t="s">
        <v>716</v>
      </c>
      <c r="C75" s="877"/>
      <c r="D75" s="877"/>
      <c r="E75" s="878"/>
      <c r="F75" s="873"/>
      <c r="G75" s="874"/>
      <c r="H75" s="875"/>
      <c r="I75" s="751"/>
    </row>
    <row r="76" spans="2:9" ht="35" customHeight="1">
      <c r="B76" s="876" t="s">
        <v>717</v>
      </c>
      <c r="C76" s="877"/>
      <c r="D76" s="877"/>
      <c r="E76" s="878"/>
      <c r="F76" s="873"/>
      <c r="G76" s="874"/>
      <c r="H76" s="875"/>
      <c r="I76" s="751"/>
    </row>
    <row r="77" spans="2:9" ht="35" customHeight="1">
      <c r="B77" s="876" t="s">
        <v>743</v>
      </c>
      <c r="C77" s="877"/>
      <c r="D77" s="877"/>
      <c r="E77" s="878"/>
      <c r="F77" s="873"/>
      <c r="G77" s="874"/>
      <c r="H77" s="875"/>
      <c r="I77" s="751"/>
    </row>
    <row r="78" spans="2:9">
      <c r="B78" s="753"/>
      <c r="C78" s="753"/>
      <c r="D78" s="753"/>
      <c r="E78" s="753"/>
      <c r="F78" s="752"/>
      <c r="G78" s="752"/>
      <c r="H78" s="752"/>
    </row>
    <row r="79" spans="2:9" ht="22" customHeight="1">
      <c r="B79" s="879" t="s">
        <v>718</v>
      </c>
      <c r="C79" s="879"/>
      <c r="D79" s="879"/>
      <c r="E79" s="879"/>
    </row>
    <row r="80" spans="2:9" s="747" customFormat="1" ht="16" customHeight="1">
      <c r="B80" s="870" t="s">
        <v>674</v>
      </c>
      <c r="C80" s="871"/>
      <c r="D80" s="871"/>
      <c r="E80" s="872"/>
      <c r="F80" s="870" t="s">
        <v>675</v>
      </c>
      <c r="G80" s="871"/>
      <c r="H80" s="872"/>
      <c r="I80" s="746" t="s">
        <v>676</v>
      </c>
    </row>
    <row r="81" spans="2:9" ht="30" customHeight="1">
      <c r="B81" s="876" t="s">
        <v>719</v>
      </c>
      <c r="C81" s="877"/>
      <c r="D81" s="877"/>
      <c r="E81" s="878"/>
      <c r="F81" s="880"/>
      <c r="G81" s="881"/>
      <c r="H81" s="882"/>
      <c r="I81" s="751"/>
    </row>
    <row r="82" spans="2:9" ht="53" customHeight="1">
      <c r="B82" s="876" t="s">
        <v>720</v>
      </c>
      <c r="C82" s="877"/>
      <c r="D82" s="877"/>
      <c r="E82" s="878"/>
      <c r="F82" s="873"/>
      <c r="G82" s="874"/>
      <c r="H82" s="875"/>
      <c r="I82" s="751"/>
    </row>
    <row r="83" spans="2:9" ht="47" customHeight="1">
      <c r="B83" s="876" t="s">
        <v>721</v>
      </c>
      <c r="C83" s="877"/>
      <c r="D83" s="877"/>
      <c r="E83" s="878"/>
      <c r="F83" s="748"/>
      <c r="G83" s="749"/>
      <c r="H83" s="750"/>
      <c r="I83" s="751"/>
    </row>
    <row r="84" spans="2:9" ht="35" customHeight="1">
      <c r="B84" s="876" t="s">
        <v>728</v>
      </c>
      <c r="C84" s="877"/>
      <c r="D84" s="877"/>
      <c r="E84" s="878"/>
      <c r="F84" s="873"/>
      <c r="G84" s="874"/>
      <c r="H84" s="875"/>
      <c r="I84" s="751"/>
    </row>
    <row r="85" spans="2:9" ht="35" customHeight="1">
      <c r="B85" s="876" t="s">
        <v>729</v>
      </c>
      <c r="C85" s="877"/>
      <c r="D85" s="877"/>
      <c r="E85" s="878"/>
      <c r="F85" s="873"/>
      <c r="G85" s="874"/>
      <c r="H85" s="875"/>
      <c r="I85" s="751"/>
    </row>
  </sheetData>
  <mergeCells count="109">
    <mergeCell ref="F2:G2"/>
    <mergeCell ref="B35:E35"/>
    <mergeCell ref="F35:H35"/>
    <mergeCell ref="B27:E27"/>
    <mergeCell ref="F22:H22"/>
    <mergeCell ref="B85:E85"/>
    <mergeCell ref="F85:H85"/>
    <mergeCell ref="B24:E24"/>
    <mergeCell ref="B64:E64"/>
    <mergeCell ref="F64:H64"/>
    <mergeCell ref="B31:E31"/>
    <mergeCell ref="F31:H31"/>
    <mergeCell ref="B76:E76"/>
    <mergeCell ref="F76:H76"/>
    <mergeCell ref="B83:E83"/>
    <mergeCell ref="B84:E84"/>
    <mergeCell ref="F84:H84"/>
    <mergeCell ref="B82:E82"/>
    <mergeCell ref="F82:H82"/>
    <mergeCell ref="B45:E45"/>
    <mergeCell ref="B46:E46"/>
    <mergeCell ref="B54:E54"/>
    <mergeCell ref="B52:E52"/>
    <mergeCell ref="B79:E79"/>
    <mergeCell ref="B80:E80"/>
    <mergeCell ref="F80:H80"/>
    <mergeCell ref="B81:E81"/>
    <mergeCell ref="F81:H81"/>
    <mergeCell ref="B73:E73"/>
    <mergeCell ref="B74:E74"/>
    <mergeCell ref="F74:H74"/>
    <mergeCell ref="B75:E75"/>
    <mergeCell ref="F75:H75"/>
    <mergeCell ref="B77:E77"/>
    <mergeCell ref="F77:H77"/>
    <mergeCell ref="B70:E70"/>
    <mergeCell ref="F70:H70"/>
    <mergeCell ref="B71:E71"/>
    <mergeCell ref="F71:H71"/>
    <mergeCell ref="B67:E67"/>
    <mergeCell ref="F67:H67"/>
    <mergeCell ref="B68:E68"/>
    <mergeCell ref="F68:H68"/>
    <mergeCell ref="B69:E69"/>
    <mergeCell ref="F69:H69"/>
    <mergeCell ref="B63:E63"/>
    <mergeCell ref="F63:H63"/>
    <mergeCell ref="B66:E66"/>
    <mergeCell ref="B61:E61"/>
    <mergeCell ref="F61:H61"/>
    <mergeCell ref="B55:E55"/>
    <mergeCell ref="F55:H55"/>
    <mergeCell ref="B56:E56"/>
    <mergeCell ref="F56:H56"/>
    <mergeCell ref="B57:E57"/>
    <mergeCell ref="F57:H57"/>
    <mergeCell ref="B59:E59"/>
    <mergeCell ref="B60:E60"/>
    <mergeCell ref="F60:H60"/>
    <mergeCell ref="B62:E62"/>
    <mergeCell ref="F62:H62"/>
    <mergeCell ref="F20:H20"/>
    <mergeCell ref="B21:E21"/>
    <mergeCell ref="F21:H21"/>
    <mergeCell ref="B22:E22"/>
    <mergeCell ref="F52:H52"/>
    <mergeCell ref="B53:E53"/>
    <mergeCell ref="F53:H53"/>
    <mergeCell ref="B49:E49"/>
    <mergeCell ref="B50:E50"/>
    <mergeCell ref="F50:H50"/>
    <mergeCell ref="B51:E51"/>
    <mergeCell ref="F51:H51"/>
    <mergeCell ref="F42:H42"/>
    <mergeCell ref="B43:E43"/>
    <mergeCell ref="F43:H43"/>
    <mergeCell ref="B44:E44"/>
    <mergeCell ref="F44:H44"/>
    <mergeCell ref="B47:E47"/>
    <mergeCell ref="B41:E41"/>
    <mergeCell ref="B42:E42"/>
    <mergeCell ref="B25:E25"/>
    <mergeCell ref="F25:H25"/>
    <mergeCell ref="B26:E26"/>
    <mergeCell ref="F26:H26"/>
    <mergeCell ref="B7:C7"/>
    <mergeCell ref="E7:F7"/>
    <mergeCell ref="H7:I7"/>
    <mergeCell ref="B18:E18"/>
    <mergeCell ref="F18:H18"/>
    <mergeCell ref="F36:H36"/>
    <mergeCell ref="B37:E37"/>
    <mergeCell ref="F37:H37"/>
    <mergeCell ref="B39:E39"/>
    <mergeCell ref="F39:H39"/>
    <mergeCell ref="B38:E38"/>
    <mergeCell ref="B36:E36"/>
    <mergeCell ref="F34:H34"/>
    <mergeCell ref="B19:E19"/>
    <mergeCell ref="F19:H19"/>
    <mergeCell ref="B23:E23"/>
    <mergeCell ref="F23:H23"/>
    <mergeCell ref="B28:E28"/>
    <mergeCell ref="B30:E30"/>
    <mergeCell ref="F30:H30"/>
    <mergeCell ref="B29:E29"/>
    <mergeCell ref="B33:E33"/>
    <mergeCell ref="B34:E34"/>
    <mergeCell ref="B20:E20"/>
  </mergeCells>
  <dataValidations count="3">
    <dataValidation type="list" allowBlank="1" showInputMessage="1" showErrorMessage="1" sqref="F13 C13 I13" xr:uid="{4A1251DF-17C3-B942-A68A-9EE6E6B14994}">
      <formula1>"-, √, NO, N/A"</formula1>
    </dataValidation>
    <dataValidation type="list" allowBlank="1" showInputMessage="1" showErrorMessage="1" sqref="I11 I19:I31 I35:I39 I43:I47 I51:I57 I61:I64 I68:I71 F11 C10:C11 I81:I85 I75:I77" xr:uid="{3B1299EE-68B9-5B4F-A8C1-C66CDCA9B340}">
      <formula1>"YES, NO, N/A"</formula1>
    </dataValidation>
    <dataValidation type="list" allowBlank="1" showInputMessage="1" showErrorMessage="1" sqref="I32" xr:uid="{05BEC77F-EEDE-7343-A71B-121C56B33349}">
      <formula1>"YES, NO"</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4517-75B1-4D1A-86C5-C53317251FB1}">
  <dimension ref="A1:AF120"/>
  <sheetViews>
    <sheetView showGridLines="0" zoomScaleNormal="100" workbookViewId="0">
      <selection activeCell="C55" sqref="C55"/>
    </sheetView>
  </sheetViews>
  <sheetFormatPr defaultColWidth="11" defaultRowHeight="15.5"/>
  <cols>
    <col min="1" max="1" width="5.81640625" style="378" customWidth="1"/>
    <col min="2" max="2" width="30.81640625" style="378" customWidth="1"/>
    <col min="3" max="3" width="54.453125" style="378" customWidth="1"/>
    <col min="4" max="4" width="1" style="378" customWidth="1"/>
    <col min="5" max="5" width="38.453125" style="378" bestFit="1" customWidth="1"/>
    <col min="6" max="7" width="31.81640625" style="378" bestFit="1" customWidth="1"/>
    <col min="8" max="8" width="31.453125" style="378" bestFit="1" customWidth="1"/>
    <col min="9" max="9" width="1" style="378" customWidth="1"/>
    <col min="10" max="10" width="32.453125" style="378" bestFit="1" customWidth="1"/>
    <col min="11" max="11" width="20.81640625" style="379" customWidth="1"/>
    <col min="12" max="12" width="3.81640625" style="378" customWidth="1"/>
    <col min="13" max="13" width="97.81640625" style="378" customWidth="1"/>
    <col min="14" max="14" width="7.6328125" style="378" customWidth="1"/>
    <col min="15" max="15" width="13.1796875" style="378" bestFit="1" customWidth="1"/>
    <col min="16" max="16" width="24.453125" style="378" bestFit="1" customWidth="1"/>
    <col min="17" max="24" width="11" style="378"/>
    <col min="25" max="25" width="16.453125" style="378" customWidth="1"/>
    <col min="26" max="16384" width="11" style="378"/>
  </cols>
  <sheetData>
    <row r="1" spans="2:32" ht="16" thickBot="1"/>
    <row r="2" spans="2:32" ht="46">
      <c r="B2" s="380" t="s">
        <v>195</v>
      </c>
      <c r="C2" s="380"/>
      <c r="G2" s="892" t="s">
        <v>431</v>
      </c>
      <c r="H2" s="894" t="s">
        <v>432</v>
      </c>
      <c r="M2" s="381" t="s">
        <v>433</v>
      </c>
    </row>
    <row r="3" spans="2:32" ht="16" thickBot="1">
      <c r="B3" s="382"/>
      <c r="C3" s="382"/>
      <c r="G3" s="893"/>
      <c r="H3" s="895"/>
    </row>
    <row r="4" spans="2:32" ht="18.5" customHeight="1">
      <c r="B4" s="383" t="s">
        <v>211</v>
      </c>
      <c r="C4" s="237">
        <f>'START HERE'!C8</f>
        <v>0</v>
      </c>
      <c r="D4" s="384"/>
      <c r="E4" s="385"/>
      <c r="F4" s="385"/>
      <c r="G4" s="385"/>
      <c r="H4" s="385"/>
      <c r="I4" s="385"/>
      <c r="J4" s="386"/>
      <c r="K4" s="386"/>
      <c r="L4" s="387"/>
      <c r="M4" s="387"/>
      <c r="N4" s="387"/>
    </row>
    <row r="5" spans="2:32" ht="18.5">
      <c r="B5" s="383" t="s">
        <v>198</v>
      </c>
      <c r="C5" s="237">
        <f>'START HERE'!C9</f>
        <v>0</v>
      </c>
      <c r="D5" s="384"/>
      <c r="E5" s="385" t="s">
        <v>210</v>
      </c>
      <c r="F5" s="385"/>
      <c r="G5" s="236">
        <f>'START HERE'!C25</f>
        <v>0</v>
      </c>
      <c r="H5" s="385"/>
      <c r="I5" s="385"/>
      <c r="J5" s="388"/>
      <c r="K5" s="386"/>
      <c r="L5" s="387"/>
      <c r="M5" s="387"/>
      <c r="N5" s="387"/>
    </row>
    <row r="6" spans="2:32" ht="18.5" customHeight="1">
      <c r="B6" s="383" t="s">
        <v>212</v>
      </c>
      <c r="C6" s="237">
        <f>'START HERE'!C23</f>
        <v>0</v>
      </c>
      <c r="D6" s="384"/>
      <c r="E6" s="385"/>
      <c r="F6" s="385"/>
      <c r="G6" s="385"/>
      <c r="H6" s="385"/>
      <c r="I6" s="385"/>
      <c r="J6" s="386"/>
      <c r="K6" s="386"/>
      <c r="L6" s="387"/>
      <c r="M6" s="387"/>
      <c r="N6" s="387"/>
    </row>
    <row r="7" spans="2:32" ht="18.5" customHeight="1">
      <c r="H7" s="389"/>
      <c r="I7" s="389"/>
      <c r="J7" s="389"/>
      <c r="K7" s="389"/>
      <c r="L7" s="390"/>
      <c r="M7" s="896"/>
      <c r="N7" s="896"/>
    </row>
    <row r="8" spans="2:32" s="393" customFormat="1" ht="40" customHeight="1">
      <c r="B8" s="391" t="s">
        <v>196</v>
      </c>
      <c r="C8" s="391"/>
      <c r="D8" s="392"/>
      <c r="E8" s="392"/>
      <c r="F8" s="392"/>
      <c r="G8" s="392"/>
      <c r="H8" s="392"/>
      <c r="I8" s="392"/>
      <c r="J8" s="392"/>
      <c r="K8" s="392"/>
      <c r="AE8" s="378"/>
      <c r="AF8" s="378"/>
    </row>
    <row r="9" spans="2:32" ht="5.25" customHeight="1"/>
    <row r="10" spans="2:32" ht="21" customHeight="1">
      <c r="B10" s="394" t="s">
        <v>34</v>
      </c>
      <c r="C10" s="394" t="s">
        <v>434</v>
      </c>
      <c r="D10" s="394"/>
      <c r="E10" s="394" t="s">
        <v>435</v>
      </c>
      <c r="F10" s="439" t="str">
        <f>IF($H$2="Miles", "Approx. distance (miles)","Approx. distance (km)")</f>
        <v>Approx. distance (km)</v>
      </c>
      <c r="G10" s="394" t="s">
        <v>436</v>
      </c>
      <c r="H10" s="394" t="s">
        <v>437</v>
      </c>
      <c r="I10" s="394"/>
      <c r="J10" s="394" t="s">
        <v>438</v>
      </c>
      <c r="K10" s="394" t="s">
        <v>439</v>
      </c>
      <c r="M10" s="427" t="s">
        <v>440</v>
      </c>
      <c r="O10" s="395" t="s">
        <v>441</v>
      </c>
      <c r="P10" s="394"/>
      <c r="Q10" s="394"/>
      <c r="R10" s="394"/>
      <c r="S10" s="394"/>
      <c r="T10" s="394"/>
      <c r="U10" s="394"/>
      <c r="V10" s="394"/>
      <c r="W10" s="394"/>
      <c r="X10" s="394"/>
      <c r="Y10" s="394"/>
    </row>
    <row r="11" spans="2:32" ht="21" customHeight="1">
      <c r="B11" s="396"/>
      <c r="C11" s="397"/>
      <c r="D11" s="398"/>
      <c r="E11" s="399" t="s">
        <v>442</v>
      </c>
      <c r="F11" s="400"/>
      <c r="G11" s="400"/>
      <c r="H11" s="400" t="s">
        <v>443</v>
      </c>
      <c r="J11" s="433" t="str">
        <f>IFERROR(IF($H$2="Miles",VLOOKUP(E11&amp;H11,Table312[[Concat]:[Factor]],3,FALSE)*1.609,VLOOKUP(E11&amp;H11,Table312[[Concat]:[Factor]],3,FALSE)),"-")</f>
        <v>-</v>
      </c>
      <c r="K11" s="434" t="str">
        <f>IFERROR(J11*F11*IF(G11="",1,G11),"-")</f>
        <v>-</v>
      </c>
      <c r="M11" s="889" t="s">
        <v>444</v>
      </c>
      <c r="O11" s="401" t="s">
        <v>6</v>
      </c>
      <c r="P11" s="401" t="s">
        <v>445</v>
      </c>
    </row>
    <row r="12" spans="2:32" ht="21" customHeight="1">
      <c r="B12" s="397"/>
      <c r="C12" s="397"/>
      <c r="D12" s="398"/>
      <c r="E12" s="399" t="s">
        <v>442</v>
      </c>
      <c r="F12" s="400"/>
      <c r="G12" s="400"/>
      <c r="H12" s="400" t="s">
        <v>443</v>
      </c>
      <c r="J12" s="433" t="str">
        <f>IFERROR(IF($H$2="Miles",VLOOKUP(E12&amp;H12,Table312[[Concat]:[Factor]],3,FALSE)*1.609,VLOOKUP(E12&amp;H12,Table312[[Concat]:[Factor]],3,FALSE)),"-")</f>
        <v>-</v>
      </c>
      <c r="K12" s="434" t="str">
        <f t="shared" ref="K12:K33" si="0">IFERROR(J12*F12*IF(G12="",1,G12),"-")</f>
        <v>-</v>
      </c>
      <c r="M12" s="889"/>
      <c r="O12" s="402" t="s">
        <v>446</v>
      </c>
      <c r="P12" s="440">
        <f>SUMIF($H$11:$H$33,"Bicycle - *",$K$11:$K$33)</f>
        <v>0</v>
      </c>
    </row>
    <row r="13" spans="2:32" ht="21" customHeight="1">
      <c r="B13" s="397"/>
      <c r="C13" s="397"/>
      <c r="D13" s="398"/>
      <c r="E13" s="399" t="s">
        <v>442</v>
      </c>
      <c r="F13" s="400"/>
      <c r="G13" s="400"/>
      <c r="H13" s="400" t="s">
        <v>443</v>
      </c>
      <c r="J13" s="433" t="str">
        <f>IFERROR(IF($H$2="Miles",VLOOKUP(E13&amp;H13,Table312[[Concat]:[Factor]],3,FALSE)*1.609,VLOOKUP(E13&amp;H13,Table312[[Concat]:[Factor]],3,FALSE)),"-")</f>
        <v>-</v>
      </c>
      <c r="K13" s="434" t="str">
        <f t="shared" si="0"/>
        <v>-</v>
      </c>
      <c r="M13" s="889" t="s">
        <v>447</v>
      </c>
      <c r="O13" s="402" t="s">
        <v>448</v>
      </c>
      <c r="P13" s="440">
        <f>SUMIF($H$11:$H$33,"Bus - *",$K$11:$K$33)</f>
        <v>0</v>
      </c>
    </row>
    <row r="14" spans="2:32" ht="21" customHeight="1">
      <c r="B14" s="397"/>
      <c r="C14" s="397"/>
      <c r="D14" s="398"/>
      <c r="E14" s="399" t="s">
        <v>442</v>
      </c>
      <c r="F14" s="400"/>
      <c r="G14" s="400"/>
      <c r="H14" s="400" t="s">
        <v>443</v>
      </c>
      <c r="J14" s="433" t="str">
        <f>IFERROR(IF($H$2="Miles",VLOOKUP(E14&amp;H14,Table312[[Concat]:[Factor]],3,FALSE)*1.609,VLOOKUP(E14&amp;H14,Table312[[Concat]:[Factor]],3,FALSE)),"-")</f>
        <v>-</v>
      </c>
      <c r="K14" s="434" t="str">
        <f t="shared" si="0"/>
        <v>-</v>
      </c>
      <c r="M14" s="889"/>
      <c r="O14" s="402" t="s">
        <v>449</v>
      </c>
      <c r="P14" s="440">
        <f>SUMIF($H$11:$H$33,"Car - *",$K$11:$K$33)</f>
        <v>0</v>
      </c>
      <c r="AA14" s="405"/>
      <c r="AB14" s="405"/>
      <c r="AC14" s="405"/>
      <c r="AD14" s="405"/>
      <c r="AE14" s="405"/>
      <c r="AF14" s="405"/>
    </row>
    <row r="15" spans="2:32" ht="21" customHeight="1">
      <c r="B15" s="397"/>
      <c r="C15" s="397"/>
      <c r="D15" s="398"/>
      <c r="E15" s="399" t="s">
        <v>442</v>
      </c>
      <c r="F15" s="400"/>
      <c r="G15" s="400"/>
      <c r="H15" s="400" t="s">
        <v>443</v>
      </c>
      <c r="J15" s="433" t="str">
        <f>IFERROR(IF($H$2="Miles",VLOOKUP(E15&amp;H15,Table312[[Concat]:[Factor]],3,FALSE)*1.609,VLOOKUP(E15&amp;H15,Table312[[Concat]:[Factor]],3,FALSE)),"-")</f>
        <v>-</v>
      </c>
      <c r="K15" s="434" t="str">
        <f t="shared" si="0"/>
        <v>-</v>
      </c>
      <c r="M15" s="889" t="s">
        <v>450</v>
      </c>
      <c r="O15" s="402" t="s">
        <v>451</v>
      </c>
      <c r="P15" s="440">
        <f>SUMIF($H$11:$H$33,"Coach",$K$11:$K$33)</f>
        <v>0</v>
      </c>
      <c r="AA15" s="405"/>
      <c r="AB15" s="405"/>
      <c r="AC15" s="405"/>
      <c r="AD15" s="405"/>
      <c r="AE15" s="405"/>
      <c r="AF15" s="405"/>
    </row>
    <row r="16" spans="2:32" ht="21" customHeight="1">
      <c r="B16" s="397"/>
      <c r="C16" s="397"/>
      <c r="D16" s="398"/>
      <c r="E16" s="399" t="s">
        <v>442</v>
      </c>
      <c r="F16" s="400"/>
      <c r="G16" s="403"/>
      <c r="H16" s="400" t="s">
        <v>443</v>
      </c>
      <c r="J16" s="433" t="str">
        <f>IFERROR(IF($H$2="Miles",VLOOKUP(E16&amp;H16,Table312[[Concat]:[Factor]],3,FALSE)*1.609,VLOOKUP(E16&amp;H16,Table312[[Concat]:[Factor]],3,FALSE)),"-")</f>
        <v>-</v>
      </c>
      <c r="K16" s="434" t="str">
        <f t="shared" si="0"/>
        <v>-</v>
      </c>
      <c r="M16" s="889"/>
      <c r="O16" s="402" t="s">
        <v>452</v>
      </c>
      <c r="P16" s="440">
        <f>SUMIF($H$11:$H$33,"Plane - *",$K$11:$K$33)</f>
        <v>0</v>
      </c>
      <c r="AA16" s="393"/>
      <c r="AB16" s="393"/>
      <c r="AC16" s="393"/>
      <c r="AD16" s="393"/>
      <c r="AE16" s="393"/>
      <c r="AF16" s="393"/>
    </row>
    <row r="17" spans="2:31" ht="21" customHeight="1">
      <c r="B17" s="397"/>
      <c r="C17" s="397"/>
      <c r="D17" s="398"/>
      <c r="E17" s="399" t="s">
        <v>442</v>
      </c>
      <c r="F17" s="400"/>
      <c r="G17" s="400"/>
      <c r="H17" s="400" t="s">
        <v>443</v>
      </c>
      <c r="J17" s="433" t="str">
        <f>IFERROR(IF($H$2="Miles",VLOOKUP(E17&amp;H17,Table312[[Concat]:[Factor]],3,FALSE)*1.609,VLOOKUP(E17&amp;H17,Table312[[Concat]:[Factor]],3,FALSE)),"-")</f>
        <v>-</v>
      </c>
      <c r="K17" s="434" t="str">
        <f t="shared" si="0"/>
        <v>-</v>
      </c>
      <c r="M17" s="889" t="s">
        <v>453</v>
      </c>
      <c r="O17" s="402" t="s">
        <v>454</v>
      </c>
      <c r="P17" s="440">
        <f>SUMIF($H$11:$H$33,"Ferry - *",$K$11:$K$33)</f>
        <v>0</v>
      </c>
    </row>
    <row r="18" spans="2:31" ht="21" customHeight="1">
      <c r="B18" s="397"/>
      <c r="C18" s="397"/>
      <c r="D18" s="398"/>
      <c r="E18" s="399" t="s">
        <v>442</v>
      </c>
      <c r="F18" s="400"/>
      <c r="G18" s="400"/>
      <c r="H18" s="400" t="s">
        <v>443</v>
      </c>
      <c r="J18" s="433" t="str">
        <f>IFERROR(IF($H$2="Miles",VLOOKUP(E18&amp;H18,Table312[[Concat]:[Factor]],3,FALSE)*1.609,VLOOKUP(E18&amp;H18,Table312[[Concat]:[Factor]],3,FALSE)),"-")</f>
        <v>-</v>
      </c>
      <c r="K18" s="434" t="str">
        <f t="shared" si="0"/>
        <v>-</v>
      </c>
      <c r="M18" s="889"/>
      <c r="O18" s="402" t="s">
        <v>455</v>
      </c>
      <c r="P18" s="440">
        <f>SUMIF($H$11:$H$33,"Motorbike",$K$11:$K$33)</f>
        <v>0</v>
      </c>
      <c r="S18" s="428"/>
      <c r="T18" s="428"/>
    </row>
    <row r="19" spans="2:31" ht="21" customHeight="1">
      <c r="B19" s="397"/>
      <c r="C19" s="397"/>
      <c r="D19" s="398"/>
      <c r="E19" s="399" t="s">
        <v>442</v>
      </c>
      <c r="F19" s="400"/>
      <c r="G19" s="400"/>
      <c r="H19" s="400" t="s">
        <v>443</v>
      </c>
      <c r="J19" s="433" t="str">
        <f>IFERROR(IF($H$2="Miles",VLOOKUP(E19&amp;H19,Table312[[Concat]:[Factor]],3,FALSE)*1.609,VLOOKUP(E19&amp;H19,Table312[[Concat]:[Factor]],3,FALSE)),"-")</f>
        <v>-</v>
      </c>
      <c r="K19" s="434" t="str">
        <f t="shared" si="0"/>
        <v>-</v>
      </c>
      <c r="M19" s="889" t="s">
        <v>667</v>
      </c>
      <c r="O19" s="402" t="s">
        <v>456</v>
      </c>
      <c r="P19" s="440">
        <f>SUMIF($H$11:$H$33,"Taxi",$K$11:$K$33)</f>
        <v>0</v>
      </c>
    </row>
    <row r="20" spans="2:31" ht="21" customHeight="1">
      <c r="B20" s="397"/>
      <c r="C20" s="397"/>
      <c r="D20" s="398"/>
      <c r="E20" s="399" t="s">
        <v>442</v>
      </c>
      <c r="F20" s="400"/>
      <c r="G20" s="400"/>
      <c r="H20" s="400" t="s">
        <v>443</v>
      </c>
      <c r="J20" s="433" t="str">
        <f>IFERROR(IF($H$2="Miles",VLOOKUP(E20&amp;H20,Table312[[Concat]:[Factor]],3,FALSE)*1.609,VLOOKUP(E20&amp;H20,Table312[[Concat]:[Factor]],3,FALSE)),"-")</f>
        <v>-</v>
      </c>
      <c r="K20" s="434" t="str">
        <f t="shared" si="0"/>
        <v>-</v>
      </c>
      <c r="M20" s="889"/>
      <c r="O20" s="402" t="s">
        <v>457</v>
      </c>
      <c r="P20" s="440">
        <f>SUMIF($H$11:$H$33,"Train - *",$K$11:$K$33)</f>
        <v>0</v>
      </c>
      <c r="U20" s="429"/>
      <c r="V20" s="429"/>
      <c r="W20" s="429"/>
      <c r="AC20" s="430"/>
      <c r="AD20" s="430"/>
      <c r="AE20" s="430"/>
    </row>
    <row r="21" spans="2:31" ht="21" customHeight="1">
      <c r="B21" s="397"/>
      <c r="C21" s="397"/>
      <c r="D21" s="398"/>
      <c r="E21" s="399" t="s">
        <v>442</v>
      </c>
      <c r="F21" s="400"/>
      <c r="G21" s="400"/>
      <c r="H21" s="400" t="s">
        <v>443</v>
      </c>
      <c r="J21" s="433" t="str">
        <f>IFERROR(IF($H$2="Miles",VLOOKUP(E21&amp;H21,Table312[[Concat]:[Factor]],3,FALSE)*1.609,VLOOKUP(E21&amp;H21,Table312[[Concat]:[Factor]],3,FALSE)),"-")</f>
        <v>-</v>
      </c>
      <c r="K21" s="434" t="str">
        <f t="shared" si="0"/>
        <v>-</v>
      </c>
      <c r="M21" s="889"/>
      <c r="O21" s="402" t="s">
        <v>459</v>
      </c>
      <c r="P21" s="440">
        <f>SUMIF($H$11:$H$33,"Van - *",$K$11:$K$33)</f>
        <v>0</v>
      </c>
      <c r="T21" s="429"/>
      <c r="U21" s="429"/>
      <c r="V21" s="429"/>
      <c r="W21" s="429"/>
      <c r="AB21" s="430"/>
      <c r="AC21" s="430"/>
      <c r="AD21" s="430"/>
      <c r="AE21" s="430"/>
    </row>
    <row r="22" spans="2:31" ht="21" customHeight="1">
      <c r="B22" s="397"/>
      <c r="C22" s="397"/>
      <c r="D22" s="398"/>
      <c r="E22" s="399" t="s">
        <v>442</v>
      </c>
      <c r="F22" s="400"/>
      <c r="G22" s="400"/>
      <c r="H22" s="400" t="s">
        <v>443</v>
      </c>
      <c r="J22" s="433" t="str">
        <f>IFERROR(IF($H$2="Miles",VLOOKUP(E22&amp;H22,Table312[[Concat]:[Factor]],3,FALSE)*1.609,VLOOKUP(E22&amp;H22,Table312[[Concat]:[Factor]],3,FALSE)),"-")</f>
        <v>-</v>
      </c>
      <c r="K22" s="434" t="str">
        <f t="shared" si="0"/>
        <v>-</v>
      </c>
      <c r="M22" s="889" t="s">
        <v>458</v>
      </c>
      <c r="T22" s="429"/>
      <c r="U22" s="429"/>
      <c r="V22" s="429"/>
      <c r="W22" s="429"/>
      <c r="AB22" s="430"/>
      <c r="AC22" s="430"/>
      <c r="AD22" s="430"/>
      <c r="AE22" s="430"/>
    </row>
    <row r="23" spans="2:31" ht="21" customHeight="1">
      <c r="B23" s="397"/>
      <c r="C23" s="397"/>
      <c r="D23" s="398"/>
      <c r="E23" s="399" t="s">
        <v>442</v>
      </c>
      <c r="F23" s="400"/>
      <c r="G23" s="400"/>
      <c r="H23" s="400" t="s">
        <v>443</v>
      </c>
      <c r="J23" s="433" t="str">
        <f>IFERROR(IF($H$2="Miles",VLOOKUP(E23&amp;H23,Table312[[Concat]:[Factor]],3,FALSE)*1.609,VLOOKUP(E23&amp;H23,Table312[[Concat]:[Factor]],3,FALSE)),"-")</f>
        <v>-</v>
      </c>
      <c r="K23" s="434" t="str">
        <f t="shared" si="0"/>
        <v>-</v>
      </c>
      <c r="M23" s="889"/>
      <c r="T23" s="429"/>
      <c r="U23" s="429"/>
      <c r="V23" s="429"/>
      <c r="W23" s="429"/>
      <c r="AB23" s="430"/>
      <c r="AC23" s="430"/>
      <c r="AD23" s="430"/>
      <c r="AE23" s="430"/>
    </row>
    <row r="24" spans="2:31" ht="21" customHeight="1">
      <c r="B24" s="397"/>
      <c r="C24" s="397"/>
      <c r="D24" s="398"/>
      <c r="E24" s="399" t="s">
        <v>442</v>
      </c>
      <c r="F24" s="400"/>
      <c r="G24" s="400"/>
      <c r="H24" s="400" t="s">
        <v>443</v>
      </c>
      <c r="J24" s="433" t="str">
        <f>IFERROR(IF($H$2="Miles",VLOOKUP(E24&amp;H24,Table312[[Concat]:[Factor]],3,FALSE)*1.609,VLOOKUP(E24&amp;H24,Table312[[Concat]:[Factor]],3,FALSE)),"-")</f>
        <v>-</v>
      </c>
      <c r="K24" s="434" t="str">
        <f t="shared" si="0"/>
        <v>-</v>
      </c>
      <c r="M24" s="889"/>
      <c r="T24" s="429"/>
      <c r="U24" s="429"/>
      <c r="V24" s="429"/>
      <c r="W24" s="429"/>
      <c r="AB24" s="430"/>
      <c r="AC24" s="430"/>
      <c r="AD24" s="430"/>
      <c r="AE24" s="430"/>
    </row>
    <row r="25" spans="2:31" ht="21" customHeight="1">
      <c r="B25" s="397"/>
      <c r="C25" s="397"/>
      <c r="D25" s="398"/>
      <c r="E25" s="399" t="s">
        <v>442</v>
      </c>
      <c r="F25" s="400"/>
      <c r="G25" s="400"/>
      <c r="H25" s="400" t="s">
        <v>443</v>
      </c>
      <c r="J25" s="433" t="str">
        <f>IFERROR(IF($H$2="Miles",VLOOKUP(E25&amp;H25,Table312[[Concat]:[Factor]],3,FALSE)*1.609,VLOOKUP(E25&amp;H25,Table312[[Concat]:[Factor]],3,FALSE)),"-")</f>
        <v>-</v>
      </c>
      <c r="K25" s="434" t="str">
        <f t="shared" si="0"/>
        <v>-</v>
      </c>
      <c r="M25"/>
    </row>
    <row r="26" spans="2:31" ht="21" customHeight="1">
      <c r="B26" s="397"/>
      <c r="C26" s="397"/>
      <c r="D26" s="398"/>
      <c r="E26" s="399" t="s">
        <v>442</v>
      </c>
      <c r="F26" s="400"/>
      <c r="G26" s="400"/>
      <c r="H26" s="400" t="s">
        <v>443</v>
      </c>
      <c r="J26" s="433" t="str">
        <f>IFERROR(IF($H$2="Miles",VLOOKUP(E26&amp;H26,Table312[[Concat]:[Factor]],3,FALSE)*1.609,VLOOKUP(E26&amp;H26,Table312[[Concat]:[Factor]],3,FALSE)),"-")</f>
        <v>-</v>
      </c>
      <c r="K26" s="434" t="str">
        <f t="shared" si="0"/>
        <v>-</v>
      </c>
    </row>
    <row r="27" spans="2:31" ht="21" customHeight="1">
      <c r="B27" s="397"/>
      <c r="C27" s="397"/>
      <c r="D27" s="398"/>
      <c r="E27" s="399" t="s">
        <v>442</v>
      </c>
      <c r="F27" s="400"/>
      <c r="G27" s="400"/>
      <c r="H27" s="400" t="s">
        <v>443</v>
      </c>
      <c r="J27" s="433" t="str">
        <f>IFERROR(IF($H$2="Miles",VLOOKUP(E27&amp;H27,Table312[[Concat]:[Factor]],3,FALSE)*1.609,VLOOKUP(E27&amp;H27,Table312[[Concat]:[Factor]],3,FALSE)),"-")</f>
        <v>-</v>
      </c>
      <c r="K27" s="434" t="str">
        <f t="shared" si="0"/>
        <v>-</v>
      </c>
    </row>
    <row r="28" spans="2:31" ht="21" customHeight="1">
      <c r="B28" s="397"/>
      <c r="C28" s="397"/>
      <c r="D28" s="398"/>
      <c r="E28" s="399" t="s">
        <v>442</v>
      </c>
      <c r="F28" s="400"/>
      <c r="G28" s="400"/>
      <c r="H28" s="400" t="s">
        <v>443</v>
      </c>
      <c r="J28" s="433" t="str">
        <f>IFERROR(IF($H$2="Miles",VLOOKUP(E28&amp;H28,Table312[[Concat]:[Factor]],3,FALSE)*1.609,VLOOKUP(E28&amp;H28,Table312[[Concat]:[Factor]],3,FALSE)),"-")</f>
        <v>-</v>
      </c>
      <c r="K28" s="434" t="str">
        <f t="shared" si="0"/>
        <v>-</v>
      </c>
    </row>
    <row r="29" spans="2:31" ht="21" customHeight="1">
      <c r="B29" s="397"/>
      <c r="C29" s="397"/>
      <c r="D29" s="398"/>
      <c r="E29" s="399" t="s">
        <v>442</v>
      </c>
      <c r="F29" s="400"/>
      <c r="G29" s="400"/>
      <c r="H29" s="400" t="s">
        <v>443</v>
      </c>
      <c r="J29" s="433" t="str">
        <f>IFERROR(IF($H$2="Miles",VLOOKUP(E29&amp;H29,Table312[[Concat]:[Factor]],3,FALSE)*1.609,VLOOKUP(E29&amp;H29,Table312[[Concat]:[Factor]],3,FALSE)),"-")</f>
        <v>-</v>
      </c>
      <c r="K29" s="434" t="str">
        <f t="shared" si="0"/>
        <v>-</v>
      </c>
    </row>
    <row r="30" spans="2:31" ht="21" customHeight="1">
      <c r="B30" s="397"/>
      <c r="C30" s="397"/>
      <c r="D30" s="398"/>
      <c r="E30" s="399" t="s">
        <v>442</v>
      </c>
      <c r="F30" s="400"/>
      <c r="G30" s="400"/>
      <c r="H30" s="400" t="s">
        <v>443</v>
      </c>
      <c r="J30" s="433" t="str">
        <f>IFERROR(IF($H$2="Miles",VLOOKUP(E30&amp;H30,Table312[[Concat]:[Factor]],3,FALSE)*1.609,VLOOKUP(E30&amp;H30,Table312[[Concat]:[Factor]],3,FALSE)),"-")</f>
        <v>-</v>
      </c>
      <c r="K30" s="434" t="str">
        <f t="shared" si="0"/>
        <v>-</v>
      </c>
    </row>
    <row r="31" spans="2:31" ht="21" customHeight="1">
      <c r="B31" s="397"/>
      <c r="C31" s="397"/>
      <c r="D31" s="398"/>
      <c r="E31" s="399" t="s">
        <v>442</v>
      </c>
      <c r="F31" s="400"/>
      <c r="G31" s="400"/>
      <c r="H31" s="400" t="s">
        <v>443</v>
      </c>
      <c r="J31" s="433" t="str">
        <f>IFERROR(IF($H$2="Miles",VLOOKUP(E31&amp;H31,Table312[[Concat]:[Factor]],3,FALSE)*1.609,VLOOKUP(E31&amp;H31,Table312[[Concat]:[Factor]],3,FALSE)),"-")</f>
        <v>-</v>
      </c>
      <c r="K31" s="434" t="str">
        <f t="shared" si="0"/>
        <v>-</v>
      </c>
    </row>
    <row r="32" spans="2:31" ht="21" customHeight="1">
      <c r="B32" s="397"/>
      <c r="C32" s="397"/>
      <c r="D32" s="398"/>
      <c r="E32" s="399" t="s">
        <v>442</v>
      </c>
      <c r="F32" s="400"/>
      <c r="G32" s="400"/>
      <c r="H32" s="400" t="s">
        <v>443</v>
      </c>
      <c r="J32" s="433" t="str">
        <f>IFERROR(IF($H$2="Miles",VLOOKUP(E32&amp;H32,Table312[[Concat]:[Factor]],3,FALSE)*1.609,VLOOKUP(E32&amp;H32,Table312[[Concat]:[Factor]],3,FALSE)),"-")</f>
        <v>-</v>
      </c>
      <c r="K32" s="434" t="str">
        <f t="shared" si="0"/>
        <v>-</v>
      </c>
    </row>
    <row r="33" spans="2:19" ht="21" customHeight="1">
      <c r="B33" s="397"/>
      <c r="C33" s="397"/>
      <c r="D33" s="398"/>
      <c r="E33" s="399" t="s">
        <v>442</v>
      </c>
      <c r="F33" s="400"/>
      <c r="G33" s="400"/>
      <c r="H33" s="400" t="s">
        <v>443</v>
      </c>
      <c r="J33" s="433" t="str">
        <f>IFERROR(IF($H$2="Miles",VLOOKUP(E33&amp;H33,Table312[[Concat]:[Factor]],3,FALSE)*1.609,VLOOKUP(E33&amp;H33,Table312[[Concat]:[Factor]],3,FALSE)),"-")</f>
        <v>-</v>
      </c>
      <c r="K33" s="434" t="str">
        <f t="shared" si="0"/>
        <v>-</v>
      </c>
    </row>
    <row r="34" spans="2:19" ht="5.25" customHeight="1" thickBot="1"/>
    <row r="35" spans="2:19" ht="40" customHeight="1" thickBot="1">
      <c r="B35" s="404"/>
      <c r="C35" s="404"/>
      <c r="D35" s="405"/>
      <c r="E35" s="405"/>
      <c r="F35" s="405"/>
      <c r="G35" s="405"/>
      <c r="H35" s="405"/>
      <c r="I35" s="405"/>
      <c r="J35" s="435" t="s">
        <v>445</v>
      </c>
      <c r="K35" s="436">
        <f>SUM(K11:K33)</f>
        <v>0</v>
      </c>
      <c r="O35" s="405"/>
      <c r="P35" s="405"/>
      <c r="Q35" s="405"/>
      <c r="R35" s="405"/>
    </row>
    <row r="36" spans="2:19" ht="21" customHeight="1"/>
    <row r="37" spans="2:19" ht="5.25" customHeight="1">
      <c r="B37" s="406"/>
      <c r="C37" s="406"/>
    </row>
    <row r="38" spans="2:19" ht="40" customHeight="1">
      <c r="B38" s="407" t="s">
        <v>460</v>
      </c>
      <c r="C38" s="407"/>
      <c r="D38" s="408"/>
      <c r="E38" s="408"/>
      <c r="F38" s="408"/>
      <c r="G38" s="408"/>
      <c r="H38" s="408"/>
      <c r="I38" s="408"/>
      <c r="J38" s="408"/>
      <c r="K38" s="409"/>
    </row>
    <row r="39" spans="2:19" ht="5.25" customHeight="1"/>
    <row r="40" spans="2:19" s="394" customFormat="1" ht="21" customHeight="1">
      <c r="B40" s="394" t="s">
        <v>34</v>
      </c>
      <c r="C40" s="410" t="s">
        <v>434</v>
      </c>
      <c r="E40" s="439" t="str">
        <f>IF($H$2="Miles", "Approx. distance (miles)","Approx. distance (km)")</f>
        <v>Approx. distance (km)</v>
      </c>
      <c r="F40" s="394" t="s">
        <v>461</v>
      </c>
      <c r="G40" s="394" t="s">
        <v>436</v>
      </c>
      <c r="H40" s="394" t="s">
        <v>437</v>
      </c>
      <c r="J40" s="394" t="s">
        <v>438</v>
      </c>
      <c r="K40" s="394" t="s">
        <v>439</v>
      </c>
      <c r="M40" s="427" t="s">
        <v>440</v>
      </c>
      <c r="O40" s="395" t="s">
        <v>462</v>
      </c>
      <c r="Q40" s="378"/>
      <c r="R40" s="378"/>
      <c r="S40" s="378"/>
    </row>
    <row r="41" spans="2:19" ht="21" customHeight="1">
      <c r="B41" s="397"/>
      <c r="C41" s="397"/>
      <c r="D41" s="398"/>
      <c r="E41" s="400"/>
      <c r="F41" s="400"/>
      <c r="G41" s="411"/>
      <c r="H41" s="400" t="s">
        <v>443</v>
      </c>
      <c r="J41" s="437" t="str">
        <f>IFERROR(IF($H$2="Miles",IF(F41="",VLOOKUP(H41,Table5[[Sub-category]:[Value]],3,FALSE),VLOOKUP(H41,Table4[[Sub-category]:[Value]],3,FALSE))*1.609,IF(F41="",VLOOKUP(H41,Table5[[Sub-category]:[Value]],3,FALSE),VLOOKUP(H41,Table4[[Sub-category]:[Value]],3,FALSE))),"-")</f>
        <v>-</v>
      </c>
      <c r="K41" s="438" t="str">
        <f>IFERROR(IF(F41="",E41*J41*IF(G41="",1,G41),E41*F41*J41*IF(G41="",1,G41)),"-")</f>
        <v>-</v>
      </c>
      <c r="M41" s="889" t="s">
        <v>444</v>
      </c>
      <c r="O41" s="401" t="s">
        <v>6</v>
      </c>
      <c r="P41" s="401" t="s">
        <v>445</v>
      </c>
    </row>
    <row r="42" spans="2:19" ht="21" customHeight="1">
      <c r="B42" s="397"/>
      <c r="C42" s="397"/>
      <c r="D42" s="398"/>
      <c r="E42" s="400"/>
      <c r="F42" s="400"/>
      <c r="G42" s="411"/>
      <c r="H42" s="400" t="s">
        <v>443</v>
      </c>
      <c r="J42" s="437" t="str">
        <f>IFERROR(IF($H$2="Miles",IF(F42="",VLOOKUP(H42,Table5[[Sub-category]:[Value]],3,FALSE),VLOOKUP(H42,Table4[[Sub-category]:[Value]],3,FALSE))*1.609,IF(F42="",VLOOKUP(H42,Table5[[Sub-category]:[Value]],3,FALSE),VLOOKUP(H42,Table4[[Sub-category]:[Value]],3,FALSE))),"-")</f>
        <v>-</v>
      </c>
      <c r="K42" s="438" t="str">
        <f t="shared" ref="K42:K63" si="1">IFERROR(IF(F42="",E42*J42*IF(G42="",1,G42),E42*F42*J42*IF(G42="",1,G42)),"-")</f>
        <v>-</v>
      </c>
      <c r="M42" s="889"/>
      <c r="O42" s="402" t="s">
        <v>463</v>
      </c>
      <c r="P42" s="440">
        <f t="shared" ref="P42:P48" si="2">SUMIF($H$41:$H$63,O42,$K$41:$K$63)</f>
        <v>0</v>
      </c>
    </row>
    <row r="43" spans="2:19" ht="21" customHeight="1">
      <c r="B43" s="397"/>
      <c r="C43" s="397"/>
      <c r="D43" s="398"/>
      <c r="E43" s="400"/>
      <c r="F43" s="400"/>
      <c r="G43" s="411"/>
      <c r="H43" s="400" t="s">
        <v>443</v>
      </c>
      <c r="J43" s="437" t="str">
        <f>IFERROR(IF($H$2="Miles",IF(F43="",VLOOKUP(H43,Table5[[Sub-category]:[Value]],3,FALSE),VLOOKUP(H43,Table4[[Sub-category]:[Value]],3,FALSE))*1.609,IF(F43="",VLOOKUP(H43,Table5[[Sub-category]:[Value]],3,FALSE),VLOOKUP(H43,Table4[[Sub-category]:[Value]],3,FALSE))),"-")</f>
        <v>-</v>
      </c>
      <c r="K43" s="438" t="str">
        <f t="shared" si="1"/>
        <v>-</v>
      </c>
      <c r="M43" s="889" t="s">
        <v>464</v>
      </c>
      <c r="O43" s="402" t="s">
        <v>465</v>
      </c>
      <c r="P43" s="440">
        <f t="shared" si="2"/>
        <v>0</v>
      </c>
    </row>
    <row r="44" spans="2:19" ht="21" customHeight="1">
      <c r="B44" s="397"/>
      <c r="C44" s="397"/>
      <c r="D44" s="398"/>
      <c r="E44" s="400"/>
      <c r="F44" s="400"/>
      <c r="G44" s="411"/>
      <c r="H44" s="400" t="s">
        <v>443</v>
      </c>
      <c r="J44" s="437" t="str">
        <f>IFERROR(IF($H$2="Miles",IF(F44="",VLOOKUP(H44,Table5[[Sub-category]:[Value]],3,FALSE),VLOOKUP(H44,Table4[[Sub-category]:[Value]],3,FALSE))*1.609,IF(F44="",VLOOKUP(H44,Table5[[Sub-category]:[Value]],3,FALSE),VLOOKUP(H44,Table4[[Sub-category]:[Value]],3,FALSE))),"-")</f>
        <v>-</v>
      </c>
      <c r="K44" s="438" t="str">
        <f t="shared" si="1"/>
        <v>-</v>
      </c>
      <c r="M44" s="889"/>
      <c r="O44" s="402" t="s">
        <v>466</v>
      </c>
      <c r="P44" s="440">
        <f t="shared" si="2"/>
        <v>0</v>
      </c>
    </row>
    <row r="45" spans="2:19" ht="21" customHeight="1">
      <c r="B45" s="397"/>
      <c r="C45" s="397"/>
      <c r="D45" s="398"/>
      <c r="E45" s="400"/>
      <c r="F45" s="400"/>
      <c r="G45" s="411"/>
      <c r="H45" s="400" t="s">
        <v>443</v>
      </c>
      <c r="J45" s="437" t="str">
        <f>IFERROR(IF($H$2="Miles",IF(F45="",VLOOKUP(H45,Table5[[Sub-category]:[Value]],3,FALSE),VLOOKUP(H45,Table4[[Sub-category]:[Value]],3,FALSE))*1.609,IF(F45="",VLOOKUP(H45,Table5[[Sub-category]:[Value]],3,FALSE),VLOOKUP(H45,Table4[[Sub-category]:[Value]],3,FALSE))),"-")</f>
        <v>-</v>
      </c>
      <c r="K45" s="438" t="str">
        <f t="shared" si="1"/>
        <v>-</v>
      </c>
      <c r="M45" s="889" t="s">
        <v>450</v>
      </c>
      <c r="O45" s="402" t="s">
        <v>467</v>
      </c>
      <c r="P45" s="440">
        <f t="shared" si="2"/>
        <v>0</v>
      </c>
    </row>
    <row r="46" spans="2:19" ht="21" customHeight="1">
      <c r="B46" s="397"/>
      <c r="C46" s="397"/>
      <c r="D46" s="398"/>
      <c r="E46" s="400"/>
      <c r="F46" s="400"/>
      <c r="G46" s="411"/>
      <c r="H46" s="400" t="s">
        <v>443</v>
      </c>
      <c r="J46" s="437" t="str">
        <f>IFERROR(IF($H$2="Miles",IF(F46="",VLOOKUP(H46,Table5[[Sub-category]:[Value]],3,FALSE),VLOOKUP(H46,Table4[[Sub-category]:[Value]],3,FALSE))*1.609,IF(F46="",VLOOKUP(H46,Table5[[Sub-category]:[Value]],3,FALSE),VLOOKUP(H46,Table4[[Sub-category]:[Value]],3,FALSE))),"-")</f>
        <v>-</v>
      </c>
      <c r="K46" s="438" t="str">
        <f t="shared" si="1"/>
        <v>-</v>
      </c>
      <c r="M46" s="889"/>
      <c r="O46" s="402" t="s">
        <v>468</v>
      </c>
      <c r="P46" s="440">
        <f t="shared" si="2"/>
        <v>0</v>
      </c>
    </row>
    <row r="47" spans="2:19" ht="21" customHeight="1">
      <c r="B47" s="397"/>
      <c r="C47" s="397"/>
      <c r="D47" s="398"/>
      <c r="E47" s="400"/>
      <c r="F47" s="400"/>
      <c r="G47" s="411"/>
      <c r="H47" s="400" t="s">
        <v>443</v>
      </c>
      <c r="J47" s="437" t="str">
        <f>IFERROR(IF($H$2="Miles",IF(F47="",VLOOKUP(H47,Table5[[Sub-category]:[Value]],3,FALSE),VLOOKUP(H47,Table4[[Sub-category]:[Value]],3,FALSE))*1.609,IF(F47="",VLOOKUP(H47,Table5[[Sub-category]:[Value]],3,FALSE),VLOOKUP(H47,Table4[[Sub-category]:[Value]],3,FALSE))),"-")</f>
        <v>-</v>
      </c>
      <c r="K47" s="438" t="str">
        <f t="shared" si="1"/>
        <v>-</v>
      </c>
      <c r="M47" s="889" t="s">
        <v>453</v>
      </c>
      <c r="O47" s="402" t="s">
        <v>469</v>
      </c>
      <c r="P47" s="440">
        <f t="shared" si="2"/>
        <v>0</v>
      </c>
    </row>
    <row r="48" spans="2:19" ht="21" customHeight="1">
      <c r="B48" s="397"/>
      <c r="C48" s="397"/>
      <c r="D48" s="398"/>
      <c r="E48" s="400"/>
      <c r="F48" s="400"/>
      <c r="G48" s="411"/>
      <c r="H48" s="400" t="s">
        <v>443</v>
      </c>
      <c r="J48" s="437" t="str">
        <f>IFERROR(IF($H$2="Miles",IF(F48="",VLOOKUP(H48,Table5[[Sub-category]:[Value]],3,FALSE),VLOOKUP(H48,Table4[[Sub-category]:[Value]],3,FALSE))*1.609,IF(F48="",VLOOKUP(H48,Table5[[Sub-category]:[Value]],3,FALSE),VLOOKUP(H48,Table4[[Sub-category]:[Value]],3,FALSE))),"-")</f>
        <v>-</v>
      </c>
      <c r="K48" s="438" t="str">
        <f t="shared" si="1"/>
        <v>-</v>
      </c>
      <c r="M48" s="889"/>
      <c r="O48" s="402" t="s">
        <v>470</v>
      </c>
      <c r="P48" s="440">
        <f t="shared" si="2"/>
        <v>0</v>
      </c>
    </row>
    <row r="49" spans="2:13" ht="21" customHeight="1">
      <c r="B49" s="397"/>
      <c r="C49" s="397"/>
      <c r="D49" s="398"/>
      <c r="E49" s="400"/>
      <c r="F49" s="400"/>
      <c r="G49" s="411"/>
      <c r="H49" s="400" t="s">
        <v>443</v>
      </c>
      <c r="J49" s="437" t="str">
        <f>IFERROR(IF($H$2="Miles",IF(F49="",VLOOKUP(H49,Table5[[Sub-category]:[Value]],3,FALSE),VLOOKUP(H49,Table4[[Sub-category]:[Value]],3,FALSE))*1.609,IF(F49="",VLOOKUP(H49,Table5[[Sub-category]:[Value]],3,FALSE),VLOOKUP(H49,Table4[[Sub-category]:[Value]],3,FALSE))),"-")</f>
        <v>-</v>
      </c>
      <c r="K49" s="438" t="str">
        <f t="shared" si="1"/>
        <v>-</v>
      </c>
      <c r="M49" s="889" t="s">
        <v>458</v>
      </c>
    </row>
    <row r="50" spans="2:13" ht="21" customHeight="1">
      <c r="B50" s="397"/>
      <c r="C50" s="397"/>
      <c r="D50" s="398"/>
      <c r="E50" s="400"/>
      <c r="F50" s="400"/>
      <c r="G50" s="411"/>
      <c r="H50" s="400" t="s">
        <v>443</v>
      </c>
      <c r="J50" s="437" t="str">
        <f>IFERROR(IF($H$2="Miles",IF(F50="",VLOOKUP(H50,Table5[[Sub-category]:[Value]],3,FALSE),VLOOKUP(H50,Table4[[Sub-category]:[Value]],3,FALSE))*1.609,IF(F50="",VLOOKUP(H50,Table5[[Sub-category]:[Value]],3,FALSE),VLOOKUP(H50,Table4[[Sub-category]:[Value]],3,FALSE))),"-")</f>
        <v>-</v>
      </c>
      <c r="K50" s="438" t="str">
        <f t="shared" si="1"/>
        <v>-</v>
      </c>
      <c r="M50" s="889"/>
    </row>
    <row r="51" spans="2:13" ht="21" customHeight="1">
      <c r="B51" s="397"/>
      <c r="C51" s="397"/>
      <c r="D51" s="398"/>
      <c r="E51" s="400"/>
      <c r="F51" s="400"/>
      <c r="G51" s="411"/>
      <c r="H51" s="400" t="s">
        <v>443</v>
      </c>
      <c r="J51" s="437" t="str">
        <f>IFERROR(IF($H$2="Miles",IF(F51="",VLOOKUP(H51,Table5[[Sub-category]:[Value]],3,FALSE),VLOOKUP(H51,Table4[[Sub-category]:[Value]],3,FALSE))*1.609,IF(F51="",VLOOKUP(H51,Table5[[Sub-category]:[Value]],3,FALSE),VLOOKUP(H51,Table4[[Sub-category]:[Value]],3,FALSE))),"-")</f>
        <v>-</v>
      </c>
      <c r="K51" s="438" t="str">
        <f t="shared" si="1"/>
        <v>-</v>
      </c>
    </row>
    <row r="52" spans="2:13" ht="21" customHeight="1">
      <c r="B52" s="397"/>
      <c r="C52" s="397"/>
      <c r="D52" s="398"/>
      <c r="E52" s="400"/>
      <c r="F52" s="400"/>
      <c r="G52" s="411"/>
      <c r="H52" s="400" t="s">
        <v>443</v>
      </c>
      <c r="J52" s="437" t="str">
        <f>IFERROR(IF($H$2="Miles",IF(F52="",VLOOKUP(H52,Table5[[Sub-category]:[Value]],3,FALSE),VLOOKUP(H52,Table4[[Sub-category]:[Value]],3,FALSE))*1.609,IF(F52="",VLOOKUP(H52,Table5[[Sub-category]:[Value]],3,FALSE),VLOOKUP(H52,Table4[[Sub-category]:[Value]],3,FALSE))),"-")</f>
        <v>-</v>
      </c>
      <c r="K52" s="438" t="str">
        <f t="shared" si="1"/>
        <v>-</v>
      </c>
    </row>
    <row r="53" spans="2:13" ht="21" customHeight="1">
      <c r="B53" s="397"/>
      <c r="C53" s="397"/>
      <c r="D53" s="398"/>
      <c r="E53" s="400"/>
      <c r="F53" s="400"/>
      <c r="G53" s="411"/>
      <c r="H53" s="400" t="s">
        <v>443</v>
      </c>
      <c r="J53" s="437" t="str">
        <f>IFERROR(IF($H$2="Miles",IF(F53="",VLOOKUP(H53,Table5[[Sub-category]:[Value]],3,FALSE),VLOOKUP(H53,Table4[[Sub-category]:[Value]],3,FALSE))*1.609,IF(F53="",VLOOKUP(H53,Table5[[Sub-category]:[Value]],3,FALSE),VLOOKUP(H53,Table4[[Sub-category]:[Value]],3,FALSE))),"-")</f>
        <v>-</v>
      </c>
      <c r="K53" s="438" t="str">
        <f t="shared" si="1"/>
        <v>-</v>
      </c>
    </row>
    <row r="54" spans="2:13" ht="21" customHeight="1">
      <c r="B54" s="397"/>
      <c r="C54" s="397"/>
      <c r="D54" s="398"/>
      <c r="E54" s="400"/>
      <c r="F54" s="400"/>
      <c r="G54" s="411"/>
      <c r="H54" s="400" t="s">
        <v>443</v>
      </c>
      <c r="J54" s="437" t="str">
        <f>IFERROR(IF($H$2="Miles",IF(F54="",VLOOKUP(H54,Table5[[Sub-category]:[Value]],3,FALSE),VLOOKUP(H54,Table4[[Sub-category]:[Value]],3,FALSE))*1.609,IF(F54="",VLOOKUP(H54,Table5[[Sub-category]:[Value]],3,FALSE),VLOOKUP(H54,Table4[[Sub-category]:[Value]],3,FALSE))),"-")</f>
        <v>-</v>
      </c>
      <c r="K54" s="438" t="str">
        <f t="shared" si="1"/>
        <v>-</v>
      </c>
    </row>
    <row r="55" spans="2:13" ht="21" customHeight="1">
      <c r="B55" s="397"/>
      <c r="C55" s="397"/>
      <c r="D55" s="398"/>
      <c r="E55" s="400"/>
      <c r="F55" s="400"/>
      <c r="G55" s="411"/>
      <c r="H55" s="400" t="s">
        <v>443</v>
      </c>
      <c r="J55" s="437" t="str">
        <f>IFERROR(IF($H$2="Miles",IF(F55="",VLOOKUP(H55,Table5[[Sub-category]:[Value]],3,FALSE),VLOOKUP(H55,Table4[[Sub-category]:[Value]],3,FALSE))*1.609,IF(F55="",VLOOKUP(H55,Table5[[Sub-category]:[Value]],3,FALSE),VLOOKUP(H55,Table4[[Sub-category]:[Value]],3,FALSE))),"-")</f>
        <v>-</v>
      </c>
      <c r="K55" s="438" t="str">
        <f t="shared" si="1"/>
        <v>-</v>
      </c>
    </row>
    <row r="56" spans="2:13" ht="21" customHeight="1">
      <c r="B56" s="397"/>
      <c r="C56" s="397"/>
      <c r="D56" s="398"/>
      <c r="E56" s="400"/>
      <c r="F56" s="400"/>
      <c r="G56" s="411"/>
      <c r="H56" s="400" t="s">
        <v>443</v>
      </c>
      <c r="J56" s="437" t="str">
        <f>IFERROR(IF($H$2="Miles",IF(F56="",VLOOKUP(H56,Table5[[Sub-category]:[Value]],3,FALSE),VLOOKUP(H56,Table4[[Sub-category]:[Value]],3,FALSE))*1.609,IF(F56="",VLOOKUP(H56,Table5[[Sub-category]:[Value]],3,FALSE),VLOOKUP(H56,Table4[[Sub-category]:[Value]],3,FALSE))),"-")</f>
        <v>-</v>
      </c>
      <c r="K56" s="438" t="str">
        <f t="shared" si="1"/>
        <v>-</v>
      </c>
    </row>
    <row r="57" spans="2:13" ht="21" customHeight="1">
      <c r="B57" s="397"/>
      <c r="C57" s="397"/>
      <c r="D57" s="398"/>
      <c r="E57" s="400"/>
      <c r="F57" s="400"/>
      <c r="G57" s="411"/>
      <c r="H57" s="400" t="s">
        <v>443</v>
      </c>
      <c r="J57" s="437" t="str">
        <f>IFERROR(IF($H$2="Miles",IF(F57="",VLOOKUP(H57,Table5[[Sub-category]:[Value]],3,FALSE),VLOOKUP(H57,Table4[[Sub-category]:[Value]],3,FALSE))*1.609,IF(F57="",VLOOKUP(H57,Table5[[Sub-category]:[Value]],3,FALSE),VLOOKUP(H57,Table4[[Sub-category]:[Value]],3,FALSE))),"-")</f>
        <v>-</v>
      </c>
      <c r="K57" s="438" t="str">
        <f t="shared" si="1"/>
        <v>-</v>
      </c>
    </row>
    <row r="58" spans="2:13" ht="21" customHeight="1">
      <c r="B58" s="397"/>
      <c r="C58" s="397"/>
      <c r="D58" s="398"/>
      <c r="E58" s="400"/>
      <c r="F58" s="400"/>
      <c r="G58" s="411"/>
      <c r="H58" s="400" t="s">
        <v>443</v>
      </c>
      <c r="J58" s="437" t="str">
        <f>IFERROR(IF($H$2="Miles",IF(F58="",VLOOKUP(H58,Table5[[Sub-category]:[Value]],3,FALSE),VLOOKUP(H58,Table4[[Sub-category]:[Value]],3,FALSE))*1.609,IF(F58="",VLOOKUP(H58,Table5[[Sub-category]:[Value]],3,FALSE),VLOOKUP(H58,Table4[[Sub-category]:[Value]],3,FALSE))),"-")</f>
        <v>-</v>
      </c>
      <c r="K58" s="438" t="str">
        <f t="shared" si="1"/>
        <v>-</v>
      </c>
    </row>
    <row r="59" spans="2:13" ht="21" customHeight="1">
      <c r="B59" s="397"/>
      <c r="C59" s="397"/>
      <c r="D59" s="398"/>
      <c r="E59" s="400"/>
      <c r="F59" s="400"/>
      <c r="G59" s="411"/>
      <c r="H59" s="400" t="s">
        <v>443</v>
      </c>
      <c r="J59" s="437" t="str">
        <f>IFERROR(IF($H$2="Miles",IF(F59="",VLOOKUP(H59,Table5[[Sub-category]:[Value]],3,FALSE),VLOOKUP(H59,Table4[[Sub-category]:[Value]],3,FALSE))*1.609,IF(F59="",VLOOKUP(H59,Table5[[Sub-category]:[Value]],3,FALSE),VLOOKUP(H59,Table4[[Sub-category]:[Value]],3,FALSE))),"-")</f>
        <v>-</v>
      </c>
      <c r="K59" s="438" t="str">
        <f t="shared" si="1"/>
        <v>-</v>
      </c>
    </row>
    <row r="60" spans="2:13" ht="21" customHeight="1">
      <c r="B60" s="397"/>
      <c r="C60" s="397"/>
      <c r="D60" s="398"/>
      <c r="E60" s="400"/>
      <c r="F60" s="400"/>
      <c r="G60" s="411"/>
      <c r="H60" s="400" t="s">
        <v>443</v>
      </c>
      <c r="J60" s="437" t="str">
        <f>IFERROR(IF($H$2="Miles",IF(F60="",VLOOKUP(H60,Table5[[Sub-category]:[Value]],3,FALSE),VLOOKUP(H60,Table4[[Sub-category]:[Value]],3,FALSE))*1.609,IF(F60="",VLOOKUP(H60,Table5[[Sub-category]:[Value]],3,FALSE),VLOOKUP(H60,Table4[[Sub-category]:[Value]],3,FALSE))),"-")</f>
        <v>-</v>
      </c>
      <c r="K60" s="438" t="str">
        <f t="shared" si="1"/>
        <v>-</v>
      </c>
    </row>
    <row r="61" spans="2:13" ht="21" customHeight="1">
      <c r="B61" s="397"/>
      <c r="C61" s="397"/>
      <c r="D61" s="398"/>
      <c r="E61" s="400"/>
      <c r="F61" s="400"/>
      <c r="G61" s="411"/>
      <c r="H61" s="400" t="s">
        <v>443</v>
      </c>
      <c r="J61" s="437" t="str">
        <f>IFERROR(IF($H$2="Miles",IF(F61="",VLOOKUP(H61,Table5[[Sub-category]:[Value]],3,FALSE),VLOOKUP(H61,Table4[[Sub-category]:[Value]],3,FALSE))*1.609,IF(F61="",VLOOKUP(H61,Table5[[Sub-category]:[Value]],3,FALSE),VLOOKUP(H61,Table4[[Sub-category]:[Value]],3,FALSE))),"-")</f>
        <v>-</v>
      </c>
      <c r="K61" s="438" t="str">
        <f t="shared" si="1"/>
        <v>-</v>
      </c>
    </row>
    <row r="62" spans="2:13" ht="21" customHeight="1">
      <c r="B62" s="397"/>
      <c r="C62" s="397"/>
      <c r="D62" s="398"/>
      <c r="E62" s="400"/>
      <c r="F62" s="400"/>
      <c r="G62" s="411"/>
      <c r="H62" s="400" t="s">
        <v>443</v>
      </c>
      <c r="J62" s="437" t="str">
        <f>IFERROR(IF($H$2="Miles",IF(F62="",VLOOKUP(H62,Table5[[Sub-category]:[Value]],3,FALSE),VLOOKUP(H62,Table4[[Sub-category]:[Value]],3,FALSE))*1.609,IF(F62="",VLOOKUP(H62,Table5[[Sub-category]:[Value]],3,FALSE),VLOOKUP(H62,Table4[[Sub-category]:[Value]],3,FALSE))),"-")</f>
        <v>-</v>
      </c>
      <c r="K62" s="438" t="str">
        <f t="shared" si="1"/>
        <v>-</v>
      </c>
    </row>
    <row r="63" spans="2:13" ht="21" customHeight="1">
      <c r="B63" s="397"/>
      <c r="C63" s="397"/>
      <c r="D63" s="398"/>
      <c r="E63" s="400"/>
      <c r="F63" s="400"/>
      <c r="G63" s="411"/>
      <c r="H63" s="400" t="s">
        <v>443</v>
      </c>
      <c r="J63" s="437" t="str">
        <f>IFERROR(IF($H$2="Miles",IF(F63="",VLOOKUP(H63,Table5[[Sub-category]:[Value]],3,FALSE),VLOOKUP(H63,Table4[[Sub-category]:[Value]],3,FALSE))*1.609,IF(F63="",VLOOKUP(H63,Table5[[Sub-category]:[Value]],3,FALSE),VLOOKUP(H63,Table4[[Sub-category]:[Value]],3,FALSE))),"-")</f>
        <v>-</v>
      </c>
      <c r="K63" s="438" t="str">
        <f t="shared" si="1"/>
        <v>-</v>
      </c>
    </row>
    <row r="64" spans="2:13" ht="5.25" customHeight="1" thickBot="1">
      <c r="G64" s="405"/>
      <c r="H64" s="405"/>
    </row>
    <row r="65" spans="1:14" s="405" customFormat="1" ht="40" customHeight="1" thickBot="1">
      <c r="B65" s="404"/>
      <c r="C65" s="404"/>
      <c r="J65" s="435" t="s">
        <v>445</v>
      </c>
      <c r="K65" s="436">
        <f>SUM(K41:K63)</f>
        <v>0</v>
      </c>
    </row>
    <row r="66" spans="1:14" s="405" customFormat="1" ht="21">
      <c r="B66" s="426" t="s">
        <v>628</v>
      </c>
      <c r="C66" s="412"/>
    </row>
    <row r="67" spans="1:14" s="405" customFormat="1" ht="18.5">
      <c r="B67" s="425" t="s">
        <v>629</v>
      </c>
      <c r="C67" s="413"/>
    </row>
    <row r="68" spans="1:14" s="405" customFormat="1" ht="18.5">
      <c r="B68" s="404" t="s">
        <v>630</v>
      </c>
      <c r="C68" s="404"/>
    </row>
    <row r="69" spans="1:14" s="405" customFormat="1" ht="18.5">
      <c r="B69" s="404"/>
      <c r="C69" s="404"/>
    </row>
    <row r="70" spans="1:14" s="405" customFormat="1" ht="21" customHeight="1"/>
    <row r="71" spans="1:14">
      <c r="H71" s="405"/>
      <c r="I71" s="405"/>
      <c r="J71" s="405"/>
      <c r="K71" s="405"/>
    </row>
    <row r="72" spans="1:14">
      <c r="H72" s="405"/>
      <c r="I72" s="405"/>
      <c r="J72" s="405"/>
      <c r="K72" s="405"/>
    </row>
    <row r="73" spans="1:14">
      <c r="H73" s="405"/>
      <c r="I73" s="405"/>
      <c r="J73" s="405"/>
      <c r="K73" s="405"/>
    </row>
    <row r="74" spans="1:14">
      <c r="K74" s="378"/>
    </row>
    <row r="75" spans="1:14">
      <c r="K75" s="378"/>
    </row>
    <row r="76" spans="1:14" ht="21">
      <c r="D76" s="387"/>
      <c r="E76" s="387"/>
      <c r="F76" s="387"/>
      <c r="K76" s="431"/>
      <c r="L76" s="431"/>
      <c r="M76" s="431"/>
      <c r="N76" s="431"/>
    </row>
    <row r="77" spans="1:14" ht="15.5" customHeight="1">
      <c r="E77" s="432"/>
      <c r="F77" s="432"/>
      <c r="K77" s="431"/>
      <c r="L77" s="431"/>
      <c r="M77" s="431"/>
      <c r="N77" s="431"/>
    </row>
    <row r="78" spans="1:14" ht="15.5" customHeight="1">
      <c r="D78" s="432"/>
      <c r="E78" s="432"/>
      <c r="F78" s="432"/>
      <c r="J78" s="431"/>
      <c r="K78" s="431"/>
      <c r="L78" s="431"/>
      <c r="M78" s="431"/>
      <c r="N78" s="431"/>
    </row>
    <row r="79" spans="1:14" ht="15.5" customHeight="1">
      <c r="C79" s="890" t="s">
        <v>430</v>
      </c>
      <c r="D79" s="432"/>
      <c r="E79" s="432"/>
      <c r="F79" s="891" t="s">
        <v>429</v>
      </c>
      <c r="G79" s="891"/>
      <c r="H79" s="891"/>
      <c r="J79" s="431"/>
      <c r="K79" s="431"/>
      <c r="L79" s="431"/>
      <c r="M79" s="431"/>
      <c r="N79" s="431"/>
    </row>
    <row r="80" spans="1:14" ht="15.5" customHeight="1">
      <c r="A80" s="393"/>
      <c r="B80" s="393"/>
      <c r="C80" s="890"/>
      <c r="F80" s="891"/>
      <c r="G80" s="891"/>
      <c r="H80" s="891"/>
      <c r="K80" s="393"/>
    </row>
    <row r="81" spans="2:11">
      <c r="C81" s="890"/>
      <c r="F81" s="891"/>
      <c r="G81" s="891"/>
      <c r="H81" s="891"/>
      <c r="I81" s="405"/>
      <c r="J81" s="405"/>
      <c r="K81" s="405"/>
    </row>
    <row r="82" spans="2:11">
      <c r="C82" s="890"/>
      <c r="H82" s="405"/>
      <c r="I82" s="405"/>
      <c r="J82" s="405"/>
      <c r="K82" s="405"/>
    </row>
    <row r="83" spans="2:11">
      <c r="H83" s="405"/>
      <c r="I83" s="405"/>
      <c r="J83" s="405"/>
      <c r="K83" s="405"/>
    </row>
    <row r="84" spans="2:11">
      <c r="H84" s="405"/>
      <c r="I84" s="405"/>
      <c r="J84" s="405"/>
      <c r="K84" s="405"/>
    </row>
    <row r="85" spans="2:11">
      <c r="H85" s="405"/>
      <c r="I85" s="405"/>
      <c r="J85" s="405"/>
      <c r="K85" s="405"/>
    </row>
    <row r="86" spans="2:11" ht="21">
      <c r="B86" s="587" t="s">
        <v>646</v>
      </c>
      <c r="C86" s="413"/>
      <c r="H86" s="405"/>
      <c r="I86" s="405"/>
      <c r="J86" s="405"/>
      <c r="K86" s="405"/>
    </row>
    <row r="87" spans="2:11" ht="18.5">
      <c r="B87" s="887" t="s">
        <v>647</v>
      </c>
      <c r="C87" s="887"/>
      <c r="E87" s="378" t="s">
        <v>649</v>
      </c>
      <c r="H87" s="405"/>
      <c r="I87" s="405"/>
      <c r="J87" s="405"/>
      <c r="K87" s="405"/>
    </row>
    <row r="88" spans="2:11" ht="18.5">
      <c r="B88" s="887" t="s">
        <v>648</v>
      </c>
      <c r="C88" s="887"/>
      <c r="E88" s="378" t="s">
        <v>653</v>
      </c>
      <c r="H88" s="405"/>
      <c r="I88" s="405"/>
      <c r="J88" s="405"/>
      <c r="K88" s="405"/>
    </row>
    <row r="89" spans="2:11" ht="18.5">
      <c r="B89" s="887" t="s">
        <v>569</v>
      </c>
      <c r="C89" s="887"/>
      <c r="E89" s="378" t="s">
        <v>650</v>
      </c>
      <c r="H89" s="405"/>
      <c r="I89" s="405"/>
      <c r="J89" s="405"/>
      <c r="K89" s="405"/>
    </row>
    <row r="90" spans="2:11" ht="18.5">
      <c r="B90" s="887" t="s">
        <v>526</v>
      </c>
      <c r="C90" s="888"/>
      <c r="E90" s="378" t="s">
        <v>652</v>
      </c>
      <c r="H90" s="405"/>
      <c r="I90" s="405"/>
      <c r="J90" s="405"/>
      <c r="K90" s="405"/>
    </row>
    <row r="91" spans="2:11" ht="18.5">
      <c r="B91" s="887" t="s">
        <v>604</v>
      </c>
      <c r="C91" s="888"/>
      <c r="E91" s="378" t="s">
        <v>651</v>
      </c>
      <c r="H91" s="405"/>
      <c r="I91" s="405"/>
      <c r="J91" s="405"/>
      <c r="K91" s="405"/>
    </row>
    <row r="92" spans="2:11">
      <c r="B92" s="723"/>
      <c r="C92" s="723"/>
      <c r="H92" s="405"/>
      <c r="I92" s="405"/>
      <c r="J92" s="405"/>
      <c r="K92" s="405"/>
    </row>
    <row r="93" spans="2:11">
      <c r="H93" s="405"/>
      <c r="I93" s="405"/>
      <c r="J93" s="405"/>
      <c r="K93" s="405"/>
    </row>
    <row r="94" spans="2:11">
      <c r="E94" s="586"/>
      <c r="H94" s="405"/>
      <c r="I94" s="405"/>
      <c r="J94" s="405"/>
      <c r="K94" s="405"/>
    </row>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sheetData>
  <sheetProtection algorithmName="SHA-512" hashValue="zrs/EZitXrHBxBCSDXjDroWD8oFTEcm3sLyPb0/x2GuakW9Ho9uKNbjVoOV6SHp6xZ6Yj2HCn7X5Vd2ml0shxA==" saltValue="UKrW69nTGMWqW5ArSLw/Uw==" spinCount="100000" sheet="1" objects="1" scenarios="1" formatColumns="0" formatRows="0" insertColumns="0" insertRows="0"/>
  <mergeCells count="21">
    <mergeCell ref="G2:G3"/>
    <mergeCell ref="H2:H3"/>
    <mergeCell ref="M7:N7"/>
    <mergeCell ref="M11:M12"/>
    <mergeCell ref="M13:M14"/>
    <mergeCell ref="B91:C91"/>
    <mergeCell ref="M15:M16"/>
    <mergeCell ref="B87:C87"/>
    <mergeCell ref="B88:C88"/>
    <mergeCell ref="B89:C89"/>
    <mergeCell ref="B90:C90"/>
    <mergeCell ref="M47:M48"/>
    <mergeCell ref="M49:M50"/>
    <mergeCell ref="C79:C82"/>
    <mergeCell ref="F79:H81"/>
    <mergeCell ref="M17:M18"/>
    <mergeCell ref="M41:M42"/>
    <mergeCell ref="M43:M44"/>
    <mergeCell ref="M45:M46"/>
    <mergeCell ref="M19:M21"/>
    <mergeCell ref="M22:M24"/>
  </mergeCells>
  <dataValidations count="1">
    <dataValidation type="list" allowBlank="1" showInputMessage="1" showErrorMessage="1" sqref="H2" xr:uid="{BB12F8D2-7A9C-4D24-83CD-C7199EBE04CC}">
      <formula1>"Kilometres,Miles"</formula1>
    </dataValidation>
  </dataValidations>
  <hyperlinks>
    <hyperlink ref="B87:C87" r:id="rId1" display="UK Government emission conversion factors (DESNZ)" xr:uid="{1166B866-487D-4CB2-885D-720EF1B26BCC}"/>
    <hyperlink ref="B88:C88" r:id="rId2" display="Base Empreinte, ADEME" xr:uid="{01FD0676-B0DB-47B4-AE1D-0C3D42641448}"/>
    <hyperlink ref="B89:C89" r:id="rId3" display="UBA" xr:uid="{448099A3-4A55-4CB3-AE1B-05BC68A280A3}"/>
    <hyperlink ref="B90" r:id="rId4" xr:uid="{94265E03-1221-4DB3-866B-F9D3C0AA6434}"/>
    <hyperlink ref="B91" r:id="rId5" xr:uid="{E816A7AB-D668-4E38-97B4-010E53731DEB}"/>
  </hyperlinks>
  <pageMargins left="0.7" right="0.7" top="0.75" bottom="0.75" header="0.3" footer="0.3"/>
  <pageSetup paperSize="9" scale="50" orientation="portrait" horizontalDpi="0" verticalDpi="0"/>
  <drawing r:id="rId6"/>
  <legacyDrawing r:id="rId7"/>
  <extLst>
    <ext xmlns:x14="http://schemas.microsoft.com/office/spreadsheetml/2009/9/main" uri="{CCE6A557-97BC-4b89-ADB6-D9C93CAAB3DF}">
      <x14:dataValidations xmlns:xm="http://schemas.microsoft.com/office/excel/2006/main" count="3">
        <x14:dataValidation type="list" allowBlank="1" showInputMessage="1" showErrorMessage="1" xr:uid="{56BA6C16-4F68-4060-B868-88C41880DBD8}">
          <x14:formula1>
            <xm:f>'Emission factors and lists'!$A$2:$A$44</xm:f>
          </x14:formula1>
          <xm:sqref>E11:E33</xm:sqref>
        </x14:dataValidation>
        <x14:dataValidation type="list" allowBlank="1" showInputMessage="1" showErrorMessage="1" xr:uid="{40EE22DB-34EE-4155-99B0-66D1FDFE167E}">
          <x14:formula1>
            <xm:f>'Emission factors and lists'!$V$2:$V$28</xm:f>
          </x14:formula1>
          <xm:sqref>H11:H33</xm:sqref>
        </x14:dataValidation>
        <x14:dataValidation type="list" allowBlank="1" showInputMessage="1" showErrorMessage="1" xr:uid="{74268C56-28A1-4A0C-ACC9-25471D2BAFC7}">
          <x14:formula1>
            <xm:f>'Emission factors and lists'!$AL$2:$AL$9</xm:f>
          </x14:formula1>
          <xm:sqref>H41:H63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ca0cff-b30d-4a38-902b-074849299554">
      <Terms xmlns="http://schemas.microsoft.com/office/infopath/2007/PartnerControls"/>
    </lcf76f155ced4ddcb4097134ff3c332f>
    <TaxCatchAll xmlns="e0e64bdb-87c9-4c27-b7ca-31ee21beeb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837EBF55136B4BB9B39D83D016DB6F" ma:contentTypeVersion="18" ma:contentTypeDescription="Create a new document." ma:contentTypeScope="" ma:versionID="a911da1b3232cf51be7df6b0da49b675">
  <xsd:schema xmlns:xsd="http://www.w3.org/2001/XMLSchema" xmlns:xs="http://www.w3.org/2001/XMLSchema" xmlns:p="http://schemas.microsoft.com/office/2006/metadata/properties" xmlns:ns2="c5ca0cff-b30d-4a38-902b-074849299554" xmlns:ns3="e0e64bdb-87c9-4c27-b7ca-31ee21beeb06" targetNamespace="http://schemas.microsoft.com/office/2006/metadata/properties" ma:root="true" ma:fieldsID="187814db1ce5523beca46ca570d42763" ns2:_="" ns3:_="">
    <xsd:import namespace="c5ca0cff-b30d-4a38-902b-074849299554"/>
    <xsd:import namespace="e0e64bdb-87c9-4c27-b7ca-31ee21beeb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a0cff-b30d-4a38-902b-074849299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609775-ec21-4160-aa00-1f67379c50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64bdb-87c9-4c27-b7ca-31ee21beeb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e705d17-b117-4188-82b9-58eddd0c7f01}" ma:internalName="TaxCatchAll" ma:showField="CatchAllData" ma:web="e0e64bdb-87c9-4c27-b7ca-31ee21bee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457234-49FE-44B8-8C54-DFCBA0CA3880}">
  <ds:schemaRefs>
    <ds:schemaRef ds:uri="http://schemas.microsoft.com/sharepoint/v3/contenttype/forms"/>
  </ds:schemaRefs>
</ds:datastoreItem>
</file>

<file path=customXml/itemProps2.xml><?xml version="1.0" encoding="utf-8"?>
<ds:datastoreItem xmlns:ds="http://schemas.openxmlformats.org/officeDocument/2006/customXml" ds:itemID="{D7AA6AD7-944E-43C6-90CD-328C6E42B271}">
  <ds:schemaRefs>
    <ds:schemaRef ds:uri="http://schemas.microsoft.com/office/2006/metadata/properties"/>
    <ds:schemaRef ds:uri="http://schemas.openxmlformats.org/package/2006/metadata/core-properties"/>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7477654a-fa19-4e62-9af2-7ed133103cdb"/>
    <ds:schemaRef ds:uri="df4101dc-333f-4140-86b9-ee9d3b806fee"/>
    <ds:schemaRef ds:uri="http://purl.org/dc/dcmitype/"/>
  </ds:schemaRefs>
</ds:datastoreItem>
</file>

<file path=customXml/itemProps3.xml><?xml version="1.0" encoding="utf-8"?>
<ds:datastoreItem xmlns:ds="http://schemas.openxmlformats.org/officeDocument/2006/customXml" ds:itemID="{95BEFBCB-4020-40C9-94C4-087D6E4710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14</vt:i4>
      </vt:variant>
      <vt:variant>
        <vt:lpstr>Named Ranges</vt:lpstr>
      </vt:variant>
      <vt:variant>
        <vt:i4>33</vt:i4>
      </vt:variant>
    </vt:vector>
  </HeadingPairs>
  <TitlesOfParts>
    <vt:vector size="47" baseType="lpstr">
      <vt:lpstr>START HERE</vt:lpstr>
      <vt:lpstr>BASIC</vt:lpstr>
      <vt:lpstr>INTERMEDIATE</vt:lpstr>
      <vt:lpstr>ADVANCED</vt:lpstr>
      <vt:lpstr>Scenery</vt:lpstr>
      <vt:lpstr>Costume</vt:lpstr>
      <vt:lpstr>Props &amp; furniture</vt:lpstr>
      <vt:lpstr>Technical</vt:lpstr>
      <vt:lpstr>Travel</vt:lpstr>
      <vt:lpstr>REPORT</vt:lpstr>
      <vt:lpstr>Scenery EST</vt:lpstr>
      <vt:lpstr>Costume EST</vt:lpstr>
      <vt:lpstr>Props &amp; furniture EST</vt:lpstr>
      <vt:lpstr>Emission factors and lists</vt:lpstr>
      <vt:lpstr>_kostumier</vt:lpstr>
      <vt:lpstr>_producent</vt:lpstr>
      <vt:lpstr>_produktionsleder</vt:lpstr>
      <vt:lpstr>_sæson</vt:lpstr>
      <vt:lpstr>_scenemester</vt:lpstr>
      <vt:lpstr>Bike</vt:lpstr>
      <vt:lpstr>Bus</vt:lpstr>
      <vt:lpstr>Car</vt:lpstr>
      <vt:lpstr>Costumedesigner</vt:lpstr>
      <vt:lpstr>Designer</vt:lpstr>
      <vt:lpstr>Director</vt:lpstr>
      <vt:lpstr>Ferry</vt:lpstr>
      <vt:lpstr>Forestillingsnummer</vt:lpstr>
      <vt:lpstr>Forestillingstitel</vt:lpstr>
      <vt:lpstr>KUNSTART</vt:lpstr>
      <vt:lpstr>Lighting_lead</vt:lpstr>
      <vt:lpstr>Plane</vt:lpstr>
      <vt:lpstr>ADVANCED!Print_Area</vt:lpstr>
      <vt:lpstr>BASIC!Print_Area</vt:lpstr>
      <vt:lpstr>INTERMEDIATE!Print_Area</vt:lpstr>
      <vt:lpstr>REPORT!Print_Area</vt:lpstr>
      <vt:lpstr>Producent</vt:lpstr>
      <vt:lpstr>producer</vt:lpstr>
      <vt:lpstr>Produktionsleder</vt:lpstr>
      <vt:lpstr>sæson</vt:lpstr>
      <vt:lpstr>Scenemester</vt:lpstr>
      <vt:lpstr>Sound_lead</vt:lpstr>
      <vt:lpstr>TARGET</vt:lpstr>
      <vt:lpstr>Taxi</vt:lpstr>
      <vt:lpstr>Technical_lead</vt:lpstr>
      <vt:lpstr>Train</vt:lpstr>
      <vt:lpstr>Van</vt:lpstr>
      <vt:lpstr>Workshoplead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Mikkel Rubæk</dc:creator>
  <cp:lastModifiedBy>Christy Romer</cp:lastModifiedBy>
  <cp:lastPrinted>2024-05-20T11:54:03Z</cp:lastPrinted>
  <dcterms:created xsi:type="dcterms:W3CDTF">2022-03-29T11:51:05Z</dcterms:created>
  <dcterms:modified xsi:type="dcterms:W3CDTF">2024-09-20T07:57:43Z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0x01010098B4DBEA43BC0B4DBC417E112B7D1482</vt:lpwstr>
  </property>
  <property fmtid="{D5CDD505-2E9C-101B-9397-08002B2CF9AE}" pid="3" name="MediaServiceImageTags">
    <vt:lpwstr/>
  </property>
</Properties>
</file>